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faf5f1880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dd80e1e4663e458f"/>
    <x:sheet xmlns:r="http://schemas.openxmlformats.org/officeDocument/2006/relationships" name="Calculations" sheetId="2" r:id="Rf0deb29298234a88"/>
    <x:sheet xmlns:r="http://schemas.openxmlformats.org/officeDocument/2006/relationships" name="Inputs" sheetId="3" r:id="R4b0e2ae27ddc4e82"/>
    <x:sheet xmlns:r="http://schemas.openxmlformats.org/officeDocument/2006/relationships" name="Sources" sheetId="4" r:id="R97f3635ce6924f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0"/>
    <x:numFmt numFmtId="201" formatCode="0%"/>
    <x:numFmt numFmtId="202" formatCode="#,##0.00"/>
    <x:numFmt numFmtId="203" formatCode="0"/>
    <x:numFmt numFmtId="204" formatCode="0.00"/>
  </x:numFmts>
  <x:fonts count="6">
    <x:font>
      <x:sz val="11"/>
      <x:name val="Carlito"/>
    </x:font>
    <x:font>
      <x:sz val="10"/>
      <x:color rgb="FF233746"/>
      <x:name val="Arial"/>
    </x:font>
    <x:font>
      <x:b/>
      <x:sz val="16"/>
      <x:color rgb="FF17354A"/>
      <x:name val="Arial"/>
    </x:font>
    <x:font>
      <x:b/>
      <x:sz val="10"/>
      <x:color rgb="FFFFFFFF"/>
      <x:name val="Arial"/>
    </x:font>
    <x:font>
      <x:b/>
      <x:sz val="10"/>
      <x:color rgb="FF17354A"/>
      <x:name val="Arial"/>
    </x:font>
    <x:font>
      <x:sz val="9"/>
      <x:color rgb="FF2739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54A"/>
      </x:patternFill>
    </x:fill>
    <x:fill>
      <x:patternFill patternType="solid">
        <x:fgColor rgb="FFF2F6F8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vertical="center" wrapText="0"/>
    </x:xf>
    <x:xf numFmtId="203" fontId="1" fillId="3" borderId="0" xfId="0" applyNumberFormat="1" applyFont="1" applyFill="1" applyBorder="1" applyAlignment="1">
      <x:alignment vertical="center" wrapText="0"/>
    </x:xf>
    <x:xf numFmtId="203" fontId="4" fillId="3" borderId="0" xfId="0" applyNumberFormat="1" applyFont="1" applyFill="1" applyBorder="1" applyAlignment="1">
      <x:alignment vertical="center" wrapText="0"/>
    </x:xf>
    <x:xf numFmtId="203" fontId="4" fillId="0" borderId="0" xfId="0" applyNumberFormat="1" applyFont="1" applyFill="1" applyBorder="1" applyAlignment="1">
      <x:alignment vertical="center" wrapText="0"/>
    </x:xf>
    <x:xf numFmtId="204" fontId="1" fillId="0" borderId="0" xfId="0" applyNumberFormat="1" applyFont="1" applyFill="1" applyBorder="1" applyAlignment="1">
      <x:alignment vertical="center" wrapText="0"/>
    </x:xf>
    <x:xf numFmtId="200" fontId="1" fillId="4" borderId="0" xfId="0" applyNumberFormat="1" applyFont="1" applyFill="1" applyBorder="1" applyAlignment="1">
      <x:alignment vertical="center" wrapText="0"/>
    </x:xf>
    <x:xf numFmtId="201" fontId="1" fillId="4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23ac7d9234daa" /><Relationship Type="http://schemas.openxmlformats.org/officeDocument/2006/relationships/theme" Target="/xl/theme/theme1.xml" Id="Rd3f0aef71fb54824" /><Relationship Type="http://schemas.openxmlformats.org/officeDocument/2006/relationships/sharedStrings" Target="/xl/sharedStrings.xml" Id="Rb4db81b0ad694778" /><Relationship Type="http://schemas.openxmlformats.org/officeDocument/2006/relationships/worksheet" Target="/xl/worksheets/sheet1.xml" Id="Rdd80e1e4663e458f" /><Relationship Type="http://schemas.openxmlformats.org/officeDocument/2006/relationships/worksheet" Target="/xl/worksheets/sheet2.xml" Id="Rf0deb29298234a88" /><Relationship Type="http://schemas.openxmlformats.org/officeDocument/2006/relationships/worksheet" Target="/xl/worksheets/sheet3.xml" Id="R4b0e2ae27ddc4e82" /><Relationship Type="http://schemas.openxmlformats.org/officeDocument/2006/relationships/worksheet" Target="/xl/worksheets/sheet4.xml" Id="R97f3635ce6924f9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c699ac0f562488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d52a971f79b448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30f761be2e3480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c757c64b9d57435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12c389cf-1d1a-40ce-bcbe-fa702eb1005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c699ac0f56248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eb82c3fe-9371-410f-936d-b7ed5faea4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52a971f79b44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a61b1980-501f-4058-b8b6-19e3912121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0f761be2e348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6d575042-f84a-4f7e-b34b-9223566162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57c64b9d5743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f36a37656b548a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0bad70971b44df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c3376eab313d4c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2af08d2e8b8494a" /></Relationships>
</file>

<file path=xl/worksheets/sheet1.xml><?xml version="1.0" encoding="utf-8"?>
<x:worksheet xmlns:x="http://schemas.openxmlformats.org/spreadsheetml/2006/main">
  <x:sheetPr>
    <x:tabColor rgb="FF17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.130000114440918" hidden="0" customWidth="1"/>
    <x:col min="2" max="2" width="40.630001068115234" hidden="0" customWidth="1"/>
    <x:col min="3" max="3" width="11.880000114440918" hidden="0" customWidth="1"/>
    <x:col min="4" max="4" width="8.75" hidden="0" customWidth="1"/>
    <x:col min="5" max="5" width="8.75" hidden="0" customWidth="1"/>
    <x:col min="6" max="6" width="10.630000114440918" hidden="0" customWidth="1"/>
    <x:col min="7" max="7" width="11.880000114440918" hidden="0" customWidth="1"/>
    <x:col min="8" max="8" width="16.25" hidden="0" customWidth="1"/>
    <x:col min="9" max="9" width="12.5" hidden="0" customWidth="1"/>
    <x:col min="10" max="10" width="70" hidden="0" customWidth="1"/>
  </x:cols>
  <x:sheetData>
    <x:row r="1" ht="64" customHeight="1">
      <x:c r="D1" s="28" t="str">
        <x:v>PLAN TO PRICE ESTIMATING | 908-946-2811
hello@plantopriceestimating.com | plantopriceestimating.com
Bennett Residence Addition | RA-01
Prepared for Cedar &amp; Cove Builders LLC (fictional)</x:v>
      </x:c>
      <x:c r="E1" s="28"/>
      <x:c r="F1" s="28"/>
      <x:c r="G1" s="28"/>
      <x:c r="H1" s="28"/>
      <x:c r="I1" s="28"/>
      <x:c r="J1" s="28"/>
    </x:row>
    <x:row r="2" ht="24" customHeight="1">
      <x:c r="A2" s="6" t="str">
        <x:v>RA-01 | Formal framing quantity takeoff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5" t="str">
        <x:v>Issue Q01 - assumed-design estimate. Quantities for review/pricing; not a fabrication or construction release.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30" customHeight="1">
      <x:c r="A5" s="14" t="str">
        <x:v>ID</x:v>
      </x:c>
      <x:c r="B5" s="14" t="str">
        <x:v>Material / assembly</x:v>
      </x:c>
      <x:c r="C5" s="14" t="str">
        <x:v>Net qty</x:v>
      </x:c>
      <x:c r="D5" s="14" t="str">
        <x:v>Unit</x:v>
      </x:c>
      <x:c r="E5" s="14" t="str">
        <x:v>Waste</x:v>
      </x:c>
      <x:c r="F5" s="14" t="str">
        <x:v>Stock unit</x:v>
      </x:c>
      <x:c r="G5" s="14" t="str">
        <x:v>Order qty</x:v>
      </x:c>
      <x:c r="H5" s="14" t="str">
        <x:v>Order unit</x:v>
      </x:c>
      <x:c r="I5" s="14" t="str">
        <x:v>Class</x:v>
      </x:c>
      <x:c r="J5" s="14" t="str">
        <x:v>Trace / qualification</x:v>
      </x:c>
    </x:row>
    <x:row r="6" ht="24" customHeight="1">
      <x:c r="A6" s="17" t="str">
        <x:v>F01</x:v>
      </x:c>
      <x:c r="B6" s="17" t="str">
        <x:v>2x6 PT sill plates, two layers</x:v>
      </x:c>
      <x:c r="C6" s="18" t="n">
        <x:f>'Calculations'!B37*2</x:f>
        <x:v>211.16666666666666</x:v>
      </x:c>
      <x:c r="D6" s="17" t="str">
        <x:v>LF</x:v>
      </x:c>
      <x:c r="E6" s="19" t="n">
        <x:f>'Inputs'!B16</x:f>
        <x:v>0.1</x:v>
      </x:c>
      <x:c r="F6" s="20" t="n">
        <x:v>16</x:v>
      </x:c>
      <x:c r="G6" s="21" t="n">
        <x:f>ROUNDUP(C6*(1+E6)/F6,0)</x:f>
        <x:v>15</x:v>
      </x:c>
      <x:c r="H6" s="17" t="str">
        <x:v>EA x 16 FT</x:v>
      </x:c>
      <x:c r="I6" s="17" t="str">
        <x:v>Calculated</x:v>
      </x:c>
      <x:c r="J6" s="5" t="str">
        <x:v>Full perimeter assumed supported; splice layout not optimized.</x:v>
      </x:c>
    </x:row>
    <x:row r="7" ht="24" customHeight="1">
      <x:c r="A7" s="5" t="str">
        <x:v>F02</x:v>
      </x:c>
      <x:c r="B7" s="5" t="str">
        <x:v>Sill gasket, 5-1/2 in.</x:v>
      </x:c>
      <x:c r="C7" s="15" t="n">
        <x:f>'Calculations'!B37</x:f>
        <x:v>105.58333333333333</x:v>
      </x:c>
      <x:c r="D7" s="5" t="str">
        <x:v>LF</x:v>
      </x:c>
      <x:c r="E7" s="12" t="n">
        <x:f>'Inputs'!B16</x:f>
        <x:v>0.1</x:v>
      </x:c>
      <x:c r="F7" s="16" t="n">
        <x:v>50</x:v>
      </x:c>
      <x:c r="G7" s="22" t="n">
        <x:f>ROUNDUP(C7*(1+E7)/F7,0)</x:f>
        <x:v>3</x:v>
      </x:c>
      <x:c r="H7" s="5" t="str">
        <x:v>ROLL x 50 FT</x:v>
      </x:c>
      <x:c r="I7" s="5" t="str">
        <x:v>Calculated</x:v>
      </x:c>
      <x:c r="J7" s="5" t="str">
        <x:v>Single continuous layer.</x:v>
      </x:c>
    </x:row>
    <x:row r="8" ht="24" customHeight="1">
      <x:c r="A8" s="17" t="str">
        <x:v>F03</x:v>
      </x:c>
      <x:c r="B8" s="17" t="str">
        <x:v>14 in. TJI 560, 24 ft stock</x:v>
      </x:c>
      <x:c r="C8" s="18" t="n">
        <x:f>'Calculations'!B46</x:f>
        <x:v>23</x:v>
      </x:c>
      <x:c r="D8" s="17" t="str">
        <x:v>EA</x:v>
      </x:c>
      <x:c r="E8" s="19" t="n">
        <x:v>0</x:v>
      </x:c>
      <x:c r="F8" s="20" t="n">
        <x:v>1</x:v>
      </x:c>
      <x:c r="G8" s="21" t="n">
        <x:f>C8+'Inputs'!B25</x:f>
        <x:v>24</x:v>
      </x:c>
      <x:c r="H8" s="17" t="str">
        <x:v>EA x 24 FT</x:v>
      </x:c>
      <x:c r="I8" s="17" t="str">
        <x:v>Assumed</x:v>
      </x:c>
      <x:c r="J8" s="5" t="str">
        <x:v>Includes two edge joists; one spare added. No steel/hearth load.</x:v>
      </x:c>
    </x:row>
    <x:row r="9" ht="24" customHeight="1">
      <x:c r="A9" s="5" t="str">
        <x:v>F04</x:v>
      </x:c>
      <x:c r="B9" s="5" t="str">
        <x:v>14 in. rim board, 1-1/8 in. thick</x:v>
      </x:c>
      <x:c r="C9" s="15" t="n">
        <x:f>'Calculations'!B47</x:f>
        <x:v>61.416666666666664</x:v>
      </x:c>
      <x:c r="D9" s="5" t="str">
        <x:v>LF</x:v>
      </x:c>
      <x:c r="E9" s="12" t="n">
        <x:f>'Inputs'!B16</x:f>
        <x:v>0.1</x:v>
      </x:c>
      <x:c r="F9" s="16" t="n">
        <x:v>12</x:v>
      </x:c>
      <x:c r="G9" s="22" t="n">
        <x:f>ROUNDUP(C9*(1+E9)/F9,0)</x:f>
        <x:v>6</x:v>
      </x:c>
      <x:c r="H9" s="5" t="str">
        <x:v>EA x 12 FT</x:v>
      </x:c>
      <x:c r="I9" s="5" t="str">
        <x:v>Assumed</x:v>
      </x:c>
      <x:c r="J9" s="5" t="str">
        <x:v>Front/back and bay returns; side edge joists in F03.</x:v>
      </x:c>
    </x:row>
    <x:row r="10" ht="24" customHeight="1">
      <x:c r="A10" s="17" t="str">
        <x:v>F05</x:v>
      </x:c>
      <x:c r="B10" s="17" t="str">
        <x:v>14 in. floor blocking stock</x:v>
      </x:c>
      <x:c r="C10" s="18" t="n">
        <x:f>'Calculations'!B48*12.5/12</x:f>
        <x:v>22.916666666666668</x:v>
      </x:c>
      <x:c r="D10" s="17" t="str">
        <x:v>LF</x:v>
      </x:c>
      <x:c r="E10" s="19" t="n">
        <x:f>'Inputs'!B16</x:f>
        <x:v>0.1</x:v>
      </x:c>
      <x:c r="F10" s="20" t="n">
        <x:v>12</x:v>
      </x:c>
      <x:c r="G10" s="21" t="n">
        <x:f>ROUNDUP(C10*(1+E10)/F10,0)</x:f>
        <x:v>3</x:v>
      </x:c>
      <x:c r="H10" s="17" t="str">
        <x:v>EA x 12 FT</x:v>
      </x:c>
      <x:c r="I10" s="17" t="str">
        <x:v>Allowance</x:v>
      </x:c>
      <x:c r="J10" s="5" t="str">
        <x:v>One line, 22 blocks x 12.5 in. using 3.5-in. flanges.</x:v>
      </x:c>
    </x:row>
    <x:row r="11" ht="24" customHeight="1">
      <x:c r="A11" s="5" t="str">
        <x:v>F06</x:v>
      </x:c>
      <x:c r="B11" s="5" t="str">
        <x:v>3/4 in. nominal T&amp;G subfloor</x:v>
      </x:c>
      <x:c r="C11" s="15" t="n">
        <x:f>'Calculations'!B34</x:f>
        <x:v>665.4882812499999</x:v>
      </x:c>
      <x:c r="D11" s="5" t="str">
        <x:v>SF</x:v>
      </x:c>
      <x:c r="E11" s="12" t="n">
        <x:f>'Inputs'!B16</x:f>
        <x:v>0.1</x:v>
      </x:c>
      <x:c r="F11" s="16" t="n">
        <x:v>32</x:v>
      </x:c>
      <x:c r="G11" s="22" t="n">
        <x:f>ROUNDUP(C11*(1+E11)/F11,0)</x:f>
        <x:v>23</x:v>
      </x:c>
      <x:c r="H11" s="5" t="str">
        <x:v>4x8 SHEET</x:v>
      </x:c>
      <x:c r="I11" s="5" t="str">
        <x:v>Calculated</x:v>
      </x:c>
      <x:c r="J11" s="5" t="str">
        <x:v>No penetration credit; assumed 24 OC rated panel.</x:v>
      </x:c>
    </x:row>
    <x:row r="12" ht="24" customHeight="1">
      <x:c r="A12" s="17" t="str">
        <x:v>F07</x:v>
      </x:c>
      <x:c r="B12" s="17" t="str">
        <x:v>Subfloor adhesive, large tube</x:v>
      </x:c>
      <x:c r="C12" s="18" t="n">
        <x:f>'Calculations'!B54</x:f>
        <x:v>548.6458333333333</x:v>
      </x:c>
      <x:c r="D12" s="17" t="str">
        <x:v>LF</x:v>
      </x:c>
      <x:c r="E12" s="19" t="n">
        <x:f>'Inputs'!B16</x:f>
        <x:v>0.1</x:v>
      </x:c>
      <x:c r="F12" s="20" t="n">
        <x:v>40</x:v>
      </x:c>
      <x:c r="G12" s="21" t="n">
        <x:f>ROUNDUP(C12*(1+E12)/F12,0)</x:f>
        <x:v>16</x:v>
      </x:c>
      <x:c r="H12" s="17" t="str">
        <x:v>TUBE</x:v>
      </x:c>
      <x:c r="I12" s="17" t="str">
        <x:v>Allowance</x:v>
      </x:c>
      <x:c r="J12" s="5" t="str">
        <x:v>40 LF/tube assumed; confirm chosen product yield.</x:v>
      </x:c>
    </x:row>
    <x:row r="13" ht="24" customHeight="1">
      <x:c r="A13" s="5" t="str">
        <x:v>F08</x:v>
      </x:c>
      <x:c r="B13" s="5" t="str">
        <x:v>I-joist end hanger kit</x:v>
      </x:c>
      <x:c r="C13" s="15" t="n">
        <x:f>'Calculations'!B46</x:f>
        <x:v>23</x:v>
      </x:c>
      <x:c r="D13" s="5" t="str">
        <x:v>EA</x:v>
      </x:c>
      <x:c r="E13" s="12" t="n">
        <x:v>0</x:v>
      </x:c>
      <x:c r="F13" s="16" t="n">
        <x:v>1</x:v>
      </x:c>
      <x:c r="G13" s="22" t="n">
        <x:f>C13+'Inputs'!B25</x:f>
        <x:v>24</x:v>
      </x:c>
      <x:c r="H13" s="5" t="str">
        <x:v>KIT</x:v>
      </x:c>
      <x:c r="I13" s="5" t="str">
        <x:v>Allowance</x:v>
      </x:c>
      <x:c r="J13" s="5" t="str">
        <x:v>One hung end/joist at existing interface; matched kit/model pending.</x:v>
      </x:c>
    </x:row>
    <x:row r="14" ht="24" customHeight="1">
      <x:c r="A14" s="17" t="str">
        <x:v>F09</x:v>
      </x:c>
      <x:c r="B14" s="17" t="str">
        <x:v>I-joist web-stiffener pair kit</x:v>
      </x:c>
      <x:c r="C14" s="18" t="n">
        <x:f>'Calculations'!B46*2</x:f>
        <x:v>46</x:v>
      </x:c>
      <x:c r="D14" s="17" t="str">
        <x:v>EA</x:v>
      </x:c>
      <x:c r="E14" s="19" t="n">
        <x:v>0</x:v>
      </x:c>
      <x:c r="F14" s="20" t="n">
        <x:v>1</x:v>
      </x:c>
      <x:c r="G14" s="21" t="n">
        <x:f>C14</x:f>
        <x:v>46</x:v>
      </x:c>
      <x:c r="H14" s="17" t="str">
        <x:v>PAIR KIT</x:v>
      </x:c>
      <x:c r="I14" s="17" t="str">
        <x:v>Allowance</x:v>
      </x:c>
      <x:c r="J14" s="5" t="str">
        <x:v>One pair per end, conservatively carried; supplier may reduce.</x:v>
      </x:c>
    </x:row>
    <x:row r="15" ht="24" customHeight="1">
      <x:c r="A15" s="5" t="str">
        <x:v>W01</x:v>
      </x:c>
      <x:c r="B15" s="5" t="str">
        <x:v>2x6 full-height studs, No.2 SPF</x:v>
      </x:c>
      <x:c r="C15" s="15" t="n">
        <x:f>'Calculations'!B50</x:f>
        <x:v>65</x:v>
      </x:c>
      <x:c r="D15" s="5" t="str">
        <x:v>EA</x:v>
      </x:c>
      <x:c r="E15" s="12" t="n">
        <x:f>'Inputs'!B16</x:f>
        <x:v>0.1</x:v>
      </x:c>
      <x:c r="F15" s="16" t="n">
        <x:v>1</x:v>
      </x:c>
      <x:c r="G15" s="22" t="n">
        <x:f>ROUNDUP(C15*(1+E15)/F15,0)</x:f>
        <x:v>72</x:v>
      </x:c>
      <x:c r="H15" s="5" t="str">
        <x:v>EA x 9 FT</x:v>
      </x:c>
      <x:c r="I15" s="5" t="str">
        <x:v>Calculated</x:v>
      </x:c>
      <x:c r="J15" s="5" t="str">
        <x:v>Common + kings + corner/end backing; assumed cut 8 ft 11 in.</x:v>
      </x:c>
    </x:row>
    <x:row r="16" ht="24" customHeight="1">
      <x:c r="A16" s="17" t="str">
        <x:v>W02</x:v>
      </x:c>
      <x:c r="B16" s="17" t="str">
        <x:v>2x6 jack studs, No.2 SPF</x:v>
      </x:c>
      <x:c r="C16" s="18" t="n">
        <x:f>'Calculations'!K16</x:f>
        <x:v>36</x:v>
      </x:c>
      <x:c r="D16" s="17" t="str">
        <x:v>EA</x:v>
      </x:c>
      <x:c r="E16" s="19" t="n">
        <x:f>'Inputs'!B16</x:f>
        <x:v>0.1</x:v>
      </x:c>
      <x:c r="F16" s="20" t="n">
        <x:v>1</x:v>
      </x:c>
      <x:c r="G16" s="21" t="n">
        <x:f>ROUNDUP(C16*(1+E16)/F16,0)</x:f>
        <x:v>40</x:v>
      </x:c>
      <x:c r="H16" s="17" t="str">
        <x:v>EA x 8 FT</x:v>
      </x:c>
      <x:c r="I16" s="17" t="str">
        <x:v>Assumed</x:v>
      </x:c>
      <x:c r="J16" s="5" t="str">
        <x:v>Two per jamb; 7 ft 10-1/2 in. cut assumed.</x:v>
      </x:c>
    </x:row>
    <x:row r="17" ht="24" customHeight="1">
      <x:c r="A17" s="5" t="str">
        <x:v>W03</x:v>
      </x:c>
      <x:c r="B17" s="5" t="str">
        <x:v>2x6 lower window cripple stock</x:v>
      </x:c>
      <x:c r="C17" s="15" t="n">
        <x:f>'Calculations'!J16</x:f>
        <x:v>19</x:v>
      </x:c>
      <x:c r="D17" s="5" t="str">
        <x:v>EA</x:v>
      </x:c>
      <x:c r="E17" s="12" t="n">
        <x:f>'Inputs'!B16</x:f>
        <x:v>0.1</x:v>
      </x:c>
      <x:c r="F17" s="16" t="n">
        <x:v>6</x:v>
      </x:c>
      <x:c r="G17" s="22" t="n">
        <x:f>ROUNDUP(C17*(1+E17)/F17,0)</x:f>
        <x:v>4</x:v>
      </x:c>
      <x:c r="H17" s="5" t="str">
        <x:v>EA x 8 FT</x:v>
      </x:c>
      <x:c r="I17" s="5" t="str">
        <x:v>Calculated</x:v>
      </x:c>
      <x:c r="J17" s="5" t="str">
        <x:v>Six 15.5-in. cuts per stock incl. kerf room; 19 required.</x:v>
      </x:c>
    </x:row>
    <x:row r="18" ht="24" customHeight="1">
      <x:c r="A18" s="17" t="str">
        <x:v>W04</x:v>
      </x:c>
      <x:c r="B18" s="17" t="str">
        <x:v>2x6 wall plates, 1 bottom + 2 top</x:v>
      </x:c>
      <x:c r="C18" s="18" t="n">
        <x:f>'Calculations'!B35*3</x:f>
        <x:v>229.9375</x:v>
      </x:c>
      <x:c r="D18" s="17" t="str">
        <x:v>LF</x:v>
      </x:c>
      <x:c r="E18" s="19" t="n">
        <x:f>'Inputs'!B16</x:f>
        <x:v>0.1</x:v>
      </x:c>
      <x:c r="F18" s="20" t="n">
        <x:v>16</x:v>
      </x:c>
      <x:c r="G18" s="21" t="n">
        <x:f>ROUNDUP(C18*(1+E18)/F18,0)</x:f>
        <x:v>16</x:v>
      </x:c>
      <x:c r="H18" s="17" t="str">
        <x:v>EA x 16 FT</x:v>
      </x:c>
      <x:c r="I18" s="17" t="str">
        <x:v>Calculated</x:v>
      </x:c>
      <x:c r="J18" s="5" t="str">
        <x:v>Exterior runs only; full bottom plates before door cuts.</x:v>
      </x:c>
    </x:row>
    <x:row r="19" ht="24" customHeight="1">
      <x:c r="A19" s="5" t="str">
        <x:v>W05</x:v>
      </x:c>
      <x:c r="B19" s="5" t="str">
        <x:v>2x6 window sills, doubled</x:v>
      </x:c>
      <x:c r="C19" s="15" t="n">
        <x:f>'Calculations'!B57</x:f>
        <x:v>56.895833333333336</x:v>
      </x:c>
      <x:c r="D19" s="5" t="str">
        <x:v>LF</x:v>
      </x:c>
      <x:c r="E19" s="12" t="n">
        <x:f>'Inputs'!B16</x:f>
        <x:v>0.1</x:v>
      </x:c>
      <x:c r="F19" s="16" t="n">
        <x:v>16</x:v>
      </x:c>
      <x:c r="G19" s="22" t="n">
        <x:f>ROUNDUP(C19*(1+E19)/F19,0)</x:f>
        <x:v>4</x:v>
      </x:c>
      <x:c r="H19" s="5" t="str">
        <x:v>EA x 16 FT</x:v>
      </x:c>
      <x:c r="I19" s="5" t="str">
        <x:v>Calculated</x:v>
      </x:c>
      <x:c r="J19" s="5" t="str">
        <x:v>Five window openings; header above each.</x:v>
      </x:c>
    </x:row>
    <x:row r="20" ht="24" customHeight="1">
      <x:c r="A20" s="17" t="str">
        <x:v>W06</x:v>
      </x:c>
      <x:c r="B20" s="17" t="str">
        <x:v>2x6 wall blocking / backing stock</x:v>
      </x:c>
      <x:c r="C20" s="18" t="n">
        <x:f>'Calculations'!B35</x:f>
        <x:v>76.64583333333333</x:v>
      </x:c>
      <x:c r="D20" s="17" t="str">
        <x:v>LF</x:v>
      </x:c>
      <x:c r="E20" s="19" t="n">
        <x:f>'Inputs'!B16</x:f>
        <x:v>0.1</x:v>
      </x:c>
      <x:c r="F20" s="20" t="n">
        <x:v>16</x:v>
      </x:c>
      <x:c r="G20" s="21" t="n">
        <x:f>ROUNDUP(C20*(1+E20)/F20,0)</x:f>
        <x:v>6</x:v>
      </x:c>
      <x:c r="H20" s="17" t="str">
        <x:v>EA x 16 FT</x:v>
      </x:c>
      <x:c r="I20" s="17" t="str">
        <x:v>Allowance</x:v>
      </x:c>
      <x:c r="J20" s="5" t="str">
        <x:v>One gross run equivalent; upper packers from offcuts.</x:v>
      </x:c>
    </x:row>
    <x:row r="21" ht="24" customHeight="1">
      <x:c r="A21" s="5" t="str">
        <x:v>W07</x:v>
      </x:c>
      <x:c r="B21" s="5" t="str">
        <x:v>1/2 in. CDX wall sheathing</x:v>
      </x:c>
      <x:c r="C21" s="15" t="n">
        <x:f>'Calculations'!B38</x:f>
        <x:v>712.1675347222222</x:v>
      </x:c>
      <x:c r="D21" s="5" t="str">
        <x:v>SF</x:v>
      </x:c>
      <x:c r="E21" s="12" t="n">
        <x:f>'Inputs'!B16</x:f>
        <x:v>0.1</x:v>
      </x:c>
      <x:c r="F21" s="16" t="n">
        <x:v>32</x:v>
      </x:c>
      <x:c r="G21" s="22" t="n">
        <x:f>ROUNDUP(C21*(1+E21)/F21,0)</x:f>
        <x:v>25</x:v>
      </x:c>
      <x:c r="H21" s="5" t="str">
        <x:v>4x8 SHEET</x:v>
      </x:c>
      <x:c r="I21" s="5" t="str">
        <x:v>Calculated</x:v>
      </x:c>
      <x:c r="J21" s="5" t="str">
        <x:v>Gross wall order; opening cutouts not reused/credited.</x:v>
      </x:c>
    </x:row>
    <x:row r="22" ht="24" customHeight="1">
      <x:c r="A22" s="17" t="str">
        <x:v>H01</x:v>
      </x:c>
      <x:c r="B22" s="17" t="str">
        <x:v>1.75 x 11.875 LVL, short headers</x:v>
      </x:c>
      <x:c r="C22" s="18" t="n">
        <x:f>SUMIFS('Calculations'!G6:G14,'Calculations'!H6:H14,6)</x:f>
        <x:v>18</x:v>
      </x:c>
      <x:c r="D22" s="17" t="str">
        <x:v>EA</x:v>
      </x:c>
      <x:c r="E22" s="19" t="n">
        <x:v>0</x:v>
      </x:c>
      <x:c r="F22" s="20" t="n">
        <x:v>1</x:v>
      </x:c>
      <x:c r="G22" s="21" t="n">
        <x:f>C22</x:f>
        <x:v>18</x:v>
      </x:c>
      <x:c r="H22" s="17" t="str">
        <x:v>EA x 6 FT</x:v>
      </x:c>
      <x:c r="I22" s="17" t="str">
        <x:v>Assumed</x:v>
      </x:c>
      <x:c r="J22" s="5" t="str">
        <x:v>Six openings x 3 plies; no span/load verification.</x:v>
      </x:c>
    </x:row>
    <x:row r="23" ht="24" customHeight="1">
      <x:c r="A23" s="5" t="str">
        <x:v>H02</x:v>
      </x:c>
      <x:c r="B23" s="5" t="str">
        <x:v>1.75 x 11.875 LVL, medium headers</x:v>
      </x:c>
      <x:c r="C23" s="15" t="n">
        <x:f>SUMIFS('Calculations'!G6:G14,'Calculations'!H6:H14,8)</x:f>
        <x:v>6</x:v>
      </x:c>
      <x:c r="D23" s="5" t="str">
        <x:v>EA</x:v>
      </x:c>
      <x:c r="E23" s="12" t="n">
        <x:v>0</x:v>
      </x:c>
      <x:c r="F23" s="16" t="n">
        <x:v>1</x:v>
      </x:c>
      <x:c r="G23" s="22" t="n">
        <x:f>C23</x:f>
        <x:v>6</x:v>
      </x:c>
      <x:c r="H23" s="5" t="str">
        <x:v>EA x 8 FT</x:v>
      </x:c>
      <x:c r="I23" s="5" t="str">
        <x:v>Assumed</x:v>
      </x:c>
      <x:c r="J23" s="5" t="str">
        <x:v>Two openings x 3 plies; no span/load verification.</x:v>
      </x:c>
    </x:row>
    <x:row r="24" ht="24" customHeight="1">
      <x:c r="A24" s="17" t="str">
        <x:v>H03</x:v>
      </x:c>
      <x:c r="B24" s="17" t="str">
        <x:v>1.75 x 11.875 LVL, wide header</x:v>
      </x:c>
      <x:c r="C24" s="18" t="n">
        <x:f>SUMIFS('Calculations'!G6:G14,'Calculations'!H6:H14,12)</x:f>
        <x:v>3</x:v>
      </x:c>
      <x:c r="D24" s="17" t="str">
        <x:v>EA</x:v>
      </x:c>
      <x:c r="E24" s="19" t="n">
        <x:v>0</x:v>
      </x:c>
      <x:c r="F24" s="20" t="n">
        <x:v>1</x:v>
      </x:c>
      <x:c r="G24" s="21" t="n">
        <x:f>C24</x:f>
        <x:v>3</x:v>
      </x:c>
      <x:c r="H24" s="17" t="str">
        <x:v>EA x 12 FT</x:v>
      </x:c>
      <x:c r="I24" s="17" t="str">
        <x:v>Assumed</x:v>
      </x:c>
      <x:c r="J24" s="5" t="str">
        <x:v>One opening x 3 plies; no span/load verification.</x:v>
      </x:c>
    </x:row>
    <x:row r="25" ht="24" customHeight="1">
      <x:c r="A25" s="5" t="str">
        <x:v>H04</x:v>
      </x:c>
      <x:c r="B25" s="5" t="str">
        <x:v>1/4 in. header packing plywood</x:v>
      </x:c>
      <x:c r="C25" s="15" t="n">
        <x:f>'Calculations'!B58</x:f>
        <x:v>49.73687065972222</x:v>
      </x:c>
      <x:c r="D25" s="5" t="str">
        <x:v>SF</x:v>
      </x:c>
      <x:c r="E25" s="12" t="n">
        <x:f>'Inputs'!B16</x:f>
        <x:v>0.1</x:v>
      </x:c>
      <x:c r="F25" s="16" t="n">
        <x:v>32</x:v>
      </x:c>
      <x:c r="G25" s="22" t="n">
        <x:f>ROUNDUP(C25*(1+E25)/F25,0)</x:f>
        <x:v>2</x:v>
      </x:c>
      <x:c r="H25" s="5" t="str">
        <x:v>4x8 SHEET</x:v>
      </x:c>
      <x:c r="I25" s="5" t="str">
        <x:v>Allowance</x:v>
      </x:c>
      <x:c r="J25" s="5" t="str">
        <x:v>Packs 5.25-in. 3-ply assembly to 5.5-in. wall width.</x:v>
      </x:c>
    </x:row>
    <x:row r="26" ht="24" customHeight="1">
      <x:c r="A26" s="17" t="str">
        <x:v>R01</x:v>
      </x:c>
      <x:c r="B26" s="17" t="str">
        <x:v>Engineered hip trusses - regular</x:v>
      </x:c>
      <x:c r="C26" s="18" t="n">
        <x:f>'Calculations'!B52</x:f>
        <x:v>7</x:v>
      </x:c>
      <x:c r="D26" s="17" t="str">
        <x:v>EA</x:v>
      </x:c>
      <x:c r="E26" s="19" t="n">
        <x:v>0</x:v>
      </x:c>
      <x:c r="F26" s="20" t="n">
        <x:v>1</x:v>
      </x:c>
      <x:c r="G26" s="21" t="n">
        <x:f>C26</x:f>
        <x:v>7</x:v>
      </x:c>
      <x:c r="H26" s="17" t="str">
        <x:v>ASSEMBLY</x:v>
      </x:c>
      <x:c r="I26" s="17" t="str">
        <x:v>Assumed</x:v>
      </x:c>
      <x:c r="J26" s="5" t="str">
        <x:v>28 ft 11-1/4 in. bearing width; profile by truss supplier.</x:v>
      </x:c>
    </x:row>
    <x:row r="27" ht="24" customHeight="1">
      <x:c r="A27" s="5" t="str">
        <x:v>R02</x:v>
      </x:c>
      <x:c r="B27" s="5" t="str">
        <x:v>Engineered hip girder truss</x:v>
      </x:c>
      <x:c r="C27" s="15" t="n">
        <x:f>'Inputs'!B27</x:f>
        <x:v>1</x:v>
      </x:c>
      <x:c r="D27" s="5" t="str">
        <x:v>EA</x:v>
      </x:c>
      <x:c r="E27" s="12" t="n">
        <x:v>0</x:v>
      </x:c>
      <x:c r="F27" s="16" t="n">
        <x:v>1</x:v>
      </x:c>
      <x:c r="G27" s="22" t="n">
        <x:f>C27</x:f>
        <x:v>1</x:v>
      </x:c>
      <x:c r="H27" s="5" t="str">
        <x:v>ASSEMBLY</x:v>
      </x:c>
      <x:c r="I27" s="5" t="str">
        <x:v>Assumed</x:v>
      </x:c>
      <x:c r="J27" s="5" t="str">
        <x:v>Included in 13 primary stations; plies internal to supplier price.</x:v>
      </x:c>
    </x:row>
    <x:row r="28" ht="24" customHeight="1">
      <x:c r="A28" s="17" t="str">
        <x:v>R03</x:v>
      </x:c>
      <x:c r="B28" s="17" t="str">
        <x:v>Engineered hip/end/bay trusses</x:v>
      </x:c>
      <x:c r="C28" s="18" t="n">
        <x:f>'Inputs'!B28</x:f>
        <x:v>5</x:v>
      </x:c>
      <x:c r="D28" s="17" t="str">
        <x:v>EA</x:v>
      </x:c>
      <x:c r="E28" s="19" t="n">
        <x:v>0</x:v>
      </x:c>
      <x:c r="F28" s="20" t="n">
        <x:v>1</x:v>
      </x:c>
      <x:c r="G28" s="21" t="n">
        <x:f>C28</x:f>
        <x:v>5</x:v>
      </x:c>
      <x:c r="H28" s="17" t="str">
        <x:v>ASSEMBLY</x:v>
      </x:c>
      <x:c r="I28" s="17" t="str">
        <x:v>Assumed</x:v>
      </x:c>
      <x:c r="J28" s="5" t="str">
        <x:v>13 stations total incl. R01-R03; not 13 plus these.</x:v>
      </x:c>
    </x:row>
    <x:row r="29" ht="24" customHeight="1">
      <x:c r="A29" s="5" t="str">
        <x:v>R04</x:v>
      </x:c>
      <x:c r="B29" s="5" t="str">
        <x:v>Supplier roof jack/filler members</x:v>
      </x:c>
      <x:c r="C29" s="15" t="n">
        <x:f>'Inputs'!B26</x:f>
        <x:v>16</x:v>
      </x:c>
      <x:c r="D29" s="5" t="str">
        <x:v>EA</x:v>
      </x:c>
      <x:c r="E29" s="12" t="n">
        <x:v>0</x:v>
      </x:c>
      <x:c r="F29" s="16" t="n">
        <x:v>1</x:v>
      </x:c>
      <x:c r="G29" s="22" t="n">
        <x:f>C29</x:f>
        <x:v>16</x:v>
      </x:c>
      <x:c r="H29" s="5" t="str">
        <x:v>MEMBER</x:v>
      </x:c>
      <x:c r="I29" s="5" t="str">
        <x:v>Allowance</x:v>
      </x:c>
      <x:c r="J29" s="5" t="str">
        <x:v>16-member provisional package; lengths/profiles delegated.</x:v>
      </x:c>
    </x:row>
    <x:row r="30" ht="24" customHeight="1">
      <x:c r="A30" s="17" t="str">
        <x:v>R05</x:v>
      </x:c>
      <x:c r="B30" s="17" t="str">
        <x:v>5/8 in. nominal plywood roof deck</x:v>
      </x:c>
      <x:c r="C30" s="18" t="n">
        <x:f>'Calculations'!B45</x:f>
        <x:v>925.9967707536674</x:v>
      </x:c>
      <x:c r="D30" s="17" t="str">
        <x:v>SF</x:v>
      </x:c>
      <x:c r="E30" s="19" t="n">
        <x:f>'Inputs'!B16</x:f>
        <x:v>0.1</x:v>
      </x:c>
      <x:c r="F30" s="20" t="n">
        <x:v>32</x:v>
      </x:c>
      <x:c r="G30" s="21" t="n">
        <x:f>ROUNDUP(C30*(1+E30)/F30,0)</x:f>
        <x:v>32</x:v>
      </x:c>
      <x:c r="H30" s="17" t="str">
        <x:v>4x8 SHEET</x:v>
      </x:c>
      <x:c r="I30" s="17" t="str">
        <x:v>Calculated</x:v>
      </x:c>
      <x:c r="J30" s="5" t="str">
        <x:v>Main roof + bay + 80 SF tie-in allowance, one order.</x:v>
      </x:c>
    </x:row>
    <x:row r="31" ht="24" customHeight="1">
      <x:c r="A31" s="5" t="str">
        <x:v>R06</x:v>
      </x:c>
      <x:c r="B31" s="5" t="str">
        <x:v>2x6 roof blocking / subfascia</x:v>
      </x:c>
      <x:c r="C31" s="15" t="n">
        <x:f>('Calculations'!B35+4*'Inputs'!B10)*2</x:f>
        <x:v>167.45833333333331</x:v>
      </x:c>
      <x:c r="D31" s="5" t="str">
        <x:v>LF</x:v>
      </x:c>
      <x:c r="E31" s="12" t="n">
        <x:f>'Inputs'!B16</x:f>
        <x:v>0.1</x:v>
      </x:c>
      <x:c r="F31" s="16" t="n">
        <x:v>16</x:v>
      </x:c>
      <x:c r="G31" s="22" t="n">
        <x:f>ROUNDUP(C31*(1+E31)/F31,0)</x:f>
        <x:v>12</x:v>
      </x:c>
      <x:c r="H31" s="5" t="str">
        <x:v>EA x 16 FT</x:v>
      </x:c>
      <x:c r="I31" s="5" t="str">
        <x:v>Allowance</x:v>
      </x:c>
      <x:c r="J31" s="5" t="str">
        <x:v>Two eave-run equivalents: subfascia + blocking; finish trim excluded.</x:v>
      </x:c>
    </x:row>
    <x:row r="32" ht="24" customHeight="1">
      <x:c r="A32" s="17" t="str">
        <x:v>R07</x:v>
      </x:c>
      <x:c r="B32" s="17" t="str">
        <x:v>2x4 permanent truss bracing stock</x:v>
      </x:c>
      <x:c r="C32" s="18" t="n">
        <x:f>'Calculations'!B51*6</x:f>
        <x:v>78</x:v>
      </x:c>
      <x:c r="D32" s="17" t="str">
        <x:v>LF</x:v>
      </x:c>
      <x:c r="E32" s="19" t="n">
        <x:f>'Inputs'!B16</x:f>
        <x:v>0.1</x:v>
      </x:c>
      <x:c r="F32" s="20" t="n">
        <x:v>16</x:v>
      </x:c>
      <x:c r="G32" s="21" t="n">
        <x:f>ROUNDUP(C32*(1+E32)/F32,0)</x:f>
        <x:v>6</x:v>
      </x:c>
      <x:c r="H32" s="17" t="str">
        <x:v>EA x 16 FT</x:v>
      </x:c>
      <x:c r="I32" s="17" t="str">
        <x:v>Allowance</x:v>
      </x:c>
      <x:c r="J32" s="5" t="str">
        <x:v>6 LF/primary assembly material allowance; not bracing design.</x:v>
      </x:c>
    </x:row>
    <x:row r="33" ht="24" customHeight="1">
      <x:c r="A33" s="5" t="str">
        <x:v>R08</x:v>
      </x:c>
      <x:c r="B33" s="5" t="str">
        <x:v>2x10x12 existing-roof tie-in stock</x:v>
      </x:c>
      <x:c r="C33" s="15" t="n">
        <x:v>4</x:v>
      </x:c>
      <x:c r="D33" s="5" t="str">
        <x:v>EA</x:v>
      </x:c>
      <x:c r="E33" s="12" t="n">
        <x:v>0</x:v>
      </x:c>
      <x:c r="F33" s="16" t="n">
        <x:v>1</x:v>
      </x:c>
      <x:c r="G33" s="22" t="n">
        <x:f>C33</x:f>
        <x:v>4</x:v>
      </x:c>
      <x:c r="H33" s="5" t="str">
        <x:v>EA x 12 FT</x:v>
      </x:c>
      <x:c r="I33" s="5" t="str">
        <x:v>Allowance</x:v>
      </x:c>
      <x:c r="J33" s="5" t="str">
        <x:v>Explicit tie-in allowance; no concealed repairs implied.</x:v>
      </x:c>
    </x:row>
    <x:row r="34" ht="24" customHeight="1">
      <x:c r="A34" s="17" t="str">
        <x:v>R09</x:v>
      </x:c>
      <x:c r="B34" s="17" t="str">
        <x:v>2x6x10 existing-roof tie-in stock</x:v>
      </x:c>
      <x:c r="C34" s="18" t="n">
        <x:v>8</x:v>
      </x:c>
      <x:c r="D34" s="17" t="str">
        <x:v>EA</x:v>
      </x:c>
      <x:c r="E34" s="19" t="n">
        <x:v>0</x:v>
      </x:c>
      <x:c r="F34" s="20" t="n">
        <x:v>1</x:v>
      </x:c>
      <x:c r="G34" s="21" t="n">
        <x:f>C34</x:f>
        <x:v>8</x:v>
      </x:c>
      <x:c r="H34" s="17" t="str">
        <x:v>EA x 10 FT</x:v>
      </x:c>
      <x:c r="I34" s="17" t="str">
        <x:v>Allowance</x:v>
      </x:c>
      <x:c r="J34" s="5" t="str">
        <x:v>Explicit tie-in allowance.</x:v>
      </x:c>
    </x:row>
    <x:row r="35" ht="24" customHeight="1">
      <x:c r="A35" s="5" t="str">
        <x:v>C01</x:v>
      </x:c>
      <x:c r="B35" s="5" t="str">
        <x:v>Roof uplift tie + fastener kit</x:v>
      </x:c>
      <x:c r="C35" s="15" t="n">
        <x:f>'Calculations'!B53</x:f>
        <x:v>42</x:v>
      </x:c>
      <x:c r="D35" s="5" t="str">
        <x:v>EA</x:v>
      </x:c>
      <x:c r="E35" s="12" t="n">
        <x:f>'Inputs'!B16</x:f>
        <x:v>0.1</x:v>
      </x:c>
      <x:c r="F35" s="16" t="n">
        <x:v>1</x:v>
      </x:c>
      <x:c r="G35" s="22" t="n">
        <x:f>ROUNDUP(C35*(1+E35)/F35,0)</x:f>
        <x:v>47</x:v>
      </x:c>
      <x:c r="H35" s="5" t="str">
        <x:v>KIT</x:v>
      </x:c>
      <x:c r="I35" s="5" t="str">
        <x:v>Allowance</x:v>
      </x:c>
      <x:c r="J35" s="5" t="str">
        <x:v>26 primary seats + 16 jack seats; H2.5A-type price only.</x:v>
      </x:c>
    </x:row>
    <x:row r="36" ht="24" customHeight="1">
      <x:c r="A36" s="17" t="str">
        <x:v>C02</x:v>
      </x:c>
      <x:c r="B36" s="17" t="str">
        <x:v>Hold-down assembly + fastener kit</x:v>
      </x:c>
      <x:c r="C36" s="18" t="n">
        <x:f>'Inputs'!B36</x:f>
        <x:v>8</x:v>
      </x:c>
      <x:c r="D36" s="17" t="str">
        <x:v>EA</x:v>
      </x:c>
      <x:c r="E36" s="19" t="n">
        <x:v>0</x:v>
      </x:c>
      <x:c r="F36" s="20" t="n">
        <x:v>1</x:v>
      </x:c>
      <x:c r="G36" s="21" t="n">
        <x:f>C36</x:f>
        <x:v>8</x:v>
      </x:c>
      <x:c r="H36" s="17" t="str">
        <x:v>KIT</x:v>
      </x:c>
      <x:c r="I36" s="17" t="str">
        <x:v>Allowance</x:v>
      </x:c>
      <x:c r="J36" s="5" t="str">
        <x:v>Eight provisional kits; capacities/anchorage not designed.</x:v>
      </x:c>
    </x:row>
    <x:row r="37" ht="24" customHeight="1">
      <x:c r="A37" s="5" t="str">
        <x:v>C03</x:v>
      </x:c>
      <x:c r="B37" s="5" t="str">
        <x:v>Sill washer/nut hardware sets</x:v>
      </x:c>
      <x:c r="C37" s="15" t="n">
        <x:f>'Inputs'!B37</x:f>
        <x:v>30</x:v>
      </x:c>
      <x:c r="D37" s="5" t="str">
        <x:v>EA</x:v>
      </x:c>
      <x:c r="E37" s="12" t="n">
        <x:f>'Inputs'!B16</x:f>
        <x:v>0.1</x:v>
      </x:c>
      <x:c r="F37" s="16" t="n">
        <x:v>1</x:v>
      </x:c>
      <x:c r="G37" s="22" t="n">
        <x:f>ROUNDUP(C37*(1+E37)/F37,0)</x:f>
        <x:v>33</x:v>
      </x:c>
      <x:c r="H37" s="5" t="str">
        <x:v>SET</x:v>
      </x:c>
      <x:c r="I37" s="5" t="str">
        <x:v>Allowance</x:v>
      </x:c>
      <x:c r="J37" s="5" t="str">
        <x:v>Cast-in bolts supplied/placed by concrete trade.</x:v>
      </x:c>
    </x:row>
    <x:row r="38" ht="24" customHeight="1">
      <x:c r="A38" s="17" t="str">
        <x:v>C04</x:v>
      </x:c>
      <x:c r="B38" s="17" t="str">
        <x:v>LVL header ply-fastener kit</x:v>
      </x:c>
      <x:c r="C38" s="18" t="n">
        <x:v>9</x:v>
      </x:c>
      <x:c r="D38" s="17" t="str">
        <x:v>EA</x:v>
      </x:c>
      <x:c r="E38" s="19" t="n">
        <x:v>0</x:v>
      </x:c>
      <x:c r="F38" s="20" t="n">
        <x:v>1</x:v>
      </x:c>
      <x:c r="G38" s="21" t="n">
        <x:f>C38</x:f>
        <x:v>9</x:v>
      </x:c>
      <x:c r="H38" s="17" t="str">
        <x:v>KIT</x:v>
      </x:c>
      <x:c r="I38" s="17" t="str">
        <x:v>Allowance</x:v>
      </x:c>
      <x:c r="J38" s="5" t="str">
        <x:v>One complete kit/opening; design and fastener schedule pending.</x:v>
      </x:c>
    </x:row>
    <x:row r="39" ht="24" customHeight="1">
      <x:c r="A39" s="5" t="str">
        <x:v>C05</x:v>
      </x:c>
      <x:c r="B39" s="5" t="str">
        <x:v>Floor panel fastening kit</x:v>
      </x:c>
      <x:c r="C39" s="15" t="n">
        <x:f>'Takeoff'!G11</x:f>
        <x:v>23</x:v>
      </x:c>
      <x:c r="D39" s="5" t="str">
        <x:v>EA</x:v>
      </x:c>
      <x:c r="E39" s="12" t="n">
        <x:v>0</x:v>
      </x:c>
      <x:c r="F39" s="16" t="n">
        <x:v>1</x:v>
      </x:c>
      <x:c r="G39" s="22" t="n">
        <x:f>C39</x:f>
        <x:v>23</x:v>
      </x:c>
      <x:c r="H39" s="5" t="str">
        <x:v>PANEL KIT</x:v>
      </x:c>
      <x:c r="I39" s="5" t="str">
        <x:v>Allowance</x:v>
      </x:c>
      <x:c r="J39" s="5" t="str">
        <x:v>One specified fastener kit per ordered floor sheet; no double count.</x:v>
      </x:c>
    </x:row>
    <x:row r="40" ht="24" customHeight="1">
      <x:c r="A40" s="17" t="str">
        <x:v>C06</x:v>
      </x:c>
      <x:c r="B40" s="17" t="str">
        <x:v>Wall panel fastening kit</x:v>
      </x:c>
      <x:c r="C40" s="18" t="n">
        <x:f>'Takeoff'!G21</x:f>
        <x:v>25</x:v>
      </x:c>
      <x:c r="D40" s="17" t="str">
        <x:v>EA</x:v>
      </x:c>
      <x:c r="E40" s="19" t="n">
        <x:v>0</x:v>
      </x:c>
      <x:c r="F40" s="20" t="n">
        <x:v>1</x:v>
      </x:c>
      <x:c r="G40" s="21" t="n">
        <x:f>C40</x:f>
        <x:v>25</x:v>
      </x:c>
      <x:c r="H40" s="17" t="str">
        <x:v>PANEL KIT</x:v>
      </x:c>
      <x:c r="I40" s="17" t="str">
        <x:v>Allowance</x:v>
      </x:c>
      <x:c r="J40" s="5" t="str">
        <x:v>One kit per ordered wall sheet; pattern/design pending.</x:v>
      </x:c>
    </x:row>
    <x:row r="41" ht="24" customHeight="1">
      <x:c r="A41" s="5" t="str">
        <x:v>C07</x:v>
      </x:c>
      <x:c r="B41" s="5" t="str">
        <x:v>Roof panel fastening / clip kit</x:v>
      </x:c>
      <x:c r="C41" s="15" t="n">
        <x:f>'Takeoff'!G30</x:f>
        <x:v>32</x:v>
      </x:c>
      <x:c r="D41" s="5" t="str">
        <x:v>EA</x:v>
      </x:c>
      <x:c r="E41" s="12" t="n">
        <x:v>0</x:v>
      </x:c>
      <x:c r="F41" s="16" t="n">
        <x:v>1</x:v>
      </x:c>
      <x:c r="G41" s="22" t="n">
        <x:f>C41</x:f>
        <x:v>32</x:v>
      </x:c>
      <x:c r="H41" s="5" t="str">
        <x:v>PANEL KIT</x:v>
      </x:c>
      <x:c r="I41" s="5" t="str">
        <x:v>Allowance</x:v>
      </x:c>
      <x:c r="J41" s="5" t="str">
        <x:v>One kit per ordered roof sheet; edge support design pending.</x:v>
      </x:c>
    </x:row>
    <x:row r="42" ht="24" customHeight="1">
      <x:c r="A42" s="17" t="str">
        <x:v>C08</x:v>
      </x:c>
      <x:c r="B42" s="17" t="str">
        <x:v>General framing fastener allowance</x:v>
      </x:c>
      <x:c r="C42" s="18" t="n">
        <x:v>1</x:v>
      </x:c>
      <x:c r="D42" s="17" t="str">
        <x:v>LOT</x:v>
      </x:c>
      <x:c r="E42" s="19" t="n">
        <x:v>0</x:v>
      </x:c>
      <x:c r="F42" s="20" t="n">
        <x:v>1</x:v>
      </x:c>
      <x:c r="G42" s="21" t="n">
        <x:f>C42</x:f>
        <x:v>1</x:v>
      </x:c>
      <x:c r="H42" s="17" t="str">
        <x:v>LOT</x:v>
      </x:c>
      <x:c r="I42" s="17" t="str">
        <x:v>Allowance</x:v>
      </x:c>
      <x:c r="J42" s="5" t="str">
        <x:v>Excludes separately scheduled panel/connector/LVL kits.</x:v>
      </x:c>
    </x:row>
    <x:row r="43" ht="24" customHeight="1">
      <x:c r="A43" s="5" t="str">
        <x:v>T01</x:v>
      </x:c>
      <x:c r="B43" s="5" t="str">
        <x:v>1x4x12 temporary safety bracing</x:v>
      </x:c>
      <x:c r="C43" s="15" t="n">
        <x:f>'Inputs'!B38</x:f>
        <x:v>20</x:v>
      </x:c>
      <x:c r="D43" s="5" t="str">
        <x:v>EA</x:v>
      </x:c>
      <x:c r="E43" s="12" t="n">
        <x:v>0</x:v>
      </x:c>
      <x:c r="F43" s="16" t="n">
        <x:v>1</x:v>
      </x:c>
      <x:c r="G43" s="22" t="n">
        <x:f>C43</x:f>
        <x:v>20</x:v>
      </x:c>
      <x:c r="H43" s="5" t="str">
        <x:v>EA x 12 FT</x:v>
      </x:c>
      <x:c r="I43" s="5" t="str">
        <x:v>Allowance</x:v>
      </x:c>
      <x:c r="J43" s="5" t="str">
        <x:v>Separate temporary stock; erection sequence not designed.</x:v>
      </x:c>
    </x:row>
    <x:row r="44" ht="24" customHeight="1">
      <x:c r="A44" s="17" t="str">
        <x:v>T02</x:v>
      </x:c>
      <x:c r="B44" s="17" t="str">
        <x:v>Temporary shoring / support</x:v>
      </x:c>
      <x:c r="C44" s="18" t="n">
        <x:v>1</x:v>
      </x:c>
      <x:c r="D44" s="17" t="str">
        <x:v>LOT</x:v>
      </x:c>
      <x:c r="E44" s="19" t="n">
        <x:v>0</x:v>
      </x:c>
      <x:c r="F44" s="20" t="n">
        <x:v>1</x:v>
      </x:c>
      <x:c r="G44" s="21" t="n">
        <x:f>C44</x:f>
        <x:v>1</x:v>
      </x:c>
      <x:c r="H44" s="17" t="str">
        <x:v>LOT</x:v>
      </x:c>
      <x:c r="I44" s="17" t="str">
        <x:v>Allowance</x:v>
      </x:c>
      <x:c r="J44" s="5" t="str">
        <x:v>Include engineered means/methods and removal; no posts sized here.</x:v>
      </x:c>
    </x:row>
    <x:row r="45" ht="24" customHeight="1">
      <x:c r="A45" s="5" t="str">
        <x:v>T03</x:v>
      </x:c>
      <x:c r="B45" s="5" t="str">
        <x:v>Material handling / crane mobilization</x:v>
      </x:c>
      <x:c r="C45" s="15" t="n">
        <x:v>1</x:v>
      </x:c>
      <x:c r="D45" s="5" t="str">
        <x:v>LOT</x:v>
      </x:c>
      <x:c r="E45" s="12" t="n">
        <x:v>0</x:v>
      </x:c>
      <x:c r="F45" s="16" t="n">
        <x:v>1</x:v>
      </x:c>
      <x:c r="G45" s="22" t="n">
        <x:f>C45</x:f>
        <x:v>1</x:v>
      </x:c>
      <x:c r="H45" s="5" t="str">
        <x:v>LOT</x:v>
      </x:c>
      <x:c r="I45" s="5" t="str">
        <x:v>Allowance</x:v>
      </x:c>
      <x:c r="J45" s="5" t="str">
        <x:v>Supplier truss handling; confirm access and delivery plan.</x:v>
      </x:c>
    </x:row>
    <x:row r="46" ht="24" customHeight="1">
      <x:c r="A46" s="17" t="str">
        <x:v>T04</x:v>
      </x:c>
      <x:c r="B46" s="17" t="str">
        <x:v>Framing layout / cleanup</x:v>
      </x:c>
      <x:c r="C46" s="18" t="n">
        <x:v>1</x:v>
      </x:c>
      <x:c r="D46" s="17" t="str">
        <x:v>LOT</x:v>
      </x:c>
      <x:c r="E46" s="19" t="n">
        <x:v>0</x:v>
      </x:c>
      <x:c r="F46" s="20" t="n">
        <x:v>1</x:v>
      </x:c>
      <x:c r="G46" s="21" t="n">
        <x:f>C46</x:f>
        <x:v>1</x:v>
      </x:c>
      <x:c r="H46" s="17" t="str">
        <x:v>LOT</x:v>
      </x:c>
      <x:c r="I46" s="17" t="str">
        <x:v>Allowance</x:v>
      </x:c>
      <x:c r="J46" s="5" t="str">
        <x:v>Labor scope; no material total implied.</x:v>
      </x:c>
    </x:row>
    <x:row r="47" ht="24" customHeight="1">
      <x:c r="A47" s="5"/>
      <x:c r="B47" s="5"/>
      <x:c r="C47" s="5"/>
      <x:c r="D47" s="5"/>
      <x:c r="E47" s="5"/>
      <x:c r="F47" s="5"/>
      <x:c r="G47" s="5"/>
      <x:c r="H47" s="5"/>
      <x:c r="I47" s="5"/>
      <x:c r="J47" s="5"/>
    </x:row>
    <x:row r="48" ht="24" customHeight="1">
      <x:c r="A48" s="5"/>
      <x:c r="B48" s="5"/>
      <x:c r="C48" s="5"/>
      <x:c r="D48" s="5"/>
      <x:c r="E48" s="5"/>
      <x:c r="F48" s="5"/>
      <x:c r="G48" s="5"/>
      <x:c r="H48" s="5"/>
      <x:c r="I48" s="5"/>
      <x:c r="J48" s="5"/>
    </x:row>
    <x:row r="49" ht="24" customHeight="1">
      <x:c r="A49" s="5" t="str">
        <x:v>Do not sum mixed units. Quantities are complete for the stated assumed scenario, with explicit assembly/lot allowances.</x:v>
      </x:c>
      <x:c r="B49" s="5"/>
      <x:c r="C49" s="5"/>
      <x:c r="D49" s="5"/>
      <x:c r="E49" s="5"/>
      <x:c r="F49" s="5"/>
      <x:c r="G49" s="5"/>
      <x:c r="H49" s="5"/>
      <x:c r="I49" s="5"/>
      <x:c r="J49" s="5"/>
    </x:row>
    <x:row r="50" ht="24" customHeight="1">
      <x:c r="A50" s="5" t="str">
        <x:v>Plan documents are retained as anonymized references. Assumed trusses replace stick rafters/ceiling joists; do not add both systems.</x:v>
      </x:c>
      <x:c r="B50" s="5"/>
      <x:c r="C50" s="5"/>
      <x:c r="D50" s="5"/>
      <x:c r="E50" s="5"/>
      <x:c r="F50" s="5"/>
      <x:c r="G50" s="5"/>
      <x:c r="H50" s="5"/>
      <x:c r="I50" s="5"/>
      <x:c r="J50" s="5"/>
    </x:row>
  </x:sheetData>
  <x:mergeCells>
    <x:mergeCell ref="D1:J1"/>
  </x:mergeCells>
  <x:pageMargins left="0.7" right="0.7" top="0.75" bottom="0.75" header="0.3" footer="0.3"/>
  <x:drawing xmlns:r="http://schemas.openxmlformats.org/officeDocument/2006/relationships" r:id="Raf36a37656b548a5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25" hidden="0" customWidth="1"/>
    <x:col min="2" max="2" width="16.8799991607666" hidden="0" customWidth="1"/>
    <x:col min="3" max="3" width="13.75" hidden="0" customWidth="1"/>
    <x:col min="4" max="4" width="47.5" hidden="0" customWidth="1"/>
    <x:col min="5" max="5" width="11.880000114440918" hidden="0" customWidth="1"/>
    <x:col min="6" max="6" width="13.75" hidden="0" customWidth="1"/>
    <x:col min="7" max="7" width="9.380000114440918" hidden="0" customWidth="1"/>
    <x:col min="8" max="8" width="10.630000114440918" hidden="0" customWidth="1"/>
    <x:col min="9" max="9" width="15.630000114440918" hidden="0" customWidth="1"/>
    <x:col min="10" max="10" width="13.75" hidden="0" customWidth="1"/>
    <x:col min="11" max="11" width="11.25" hidden="0" customWidth="1"/>
    <x:col min="12" max="12" width="11.25" hidden="0" customWidth="1"/>
  </x:cols>
  <x:sheetData>
    <x:row r="1" ht="64" customHeight="1">
      <x:c r="D1" s="28" t="str">
        <x:v>PLAN TO PRICE ESTIMATING | 908-946-2811
hello@plantopriceestimating.com | plantopriceestimating.com
Bennett Residence Addition | RA-01
Prepared for Cedar &amp; Cove Builders LLC (fictional)</x:v>
      </x:c>
      <x:c r="E1" s="28"/>
      <x:c r="F1" s="28"/>
      <x:c r="G1" s="28"/>
      <x:c r="H1" s="28"/>
      <x:c r="I1" s="28"/>
      <x:c r="J1" s="28"/>
      <x:c r="K1" s="28"/>
      <x:c r="L1" s="28"/>
    </x:row>
    <x:row r="2" ht="24" customHeight="1">
      <x:c r="A2" s="6" t="str">
        <x:v>Calculation trail | measured geometry and assumed framing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4" customHeight="1">
      <x:c r="A3" s="5" t="str">
        <x:v>Opening dimensions are transcribed; framing allocations and stock lengths are assumptions.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4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30" customHeight="1">
      <x:c r="A5" s="14" t="str">
        <x:v>Tag</x:v>
      </x:c>
      <x:c r="B5" s="14" t="str">
        <x:v>Type</x:v>
      </x:c>
      <x:c r="C5" s="14" t="str">
        <x:v>RO width FT</x:v>
      </x:c>
      <x:c r="D5" s="14" t="str">
        <x:v>RO height FT</x:v>
      </x:c>
      <x:c r="E5" s="14" t="str">
        <x:v>Area SF</x:v>
      </x:c>
      <x:c r="F5" s="14" t="str">
        <x:v>Header cut FT</x:v>
      </x:c>
      <x:c r="G5" s="14" t="str">
        <x:v>Plies</x:v>
      </x:c>
      <x:c r="H5" s="14" t="str">
        <x:v>Stock FT</x:v>
      </x:c>
      <x:c r="I5" s="14" t="str">
        <x:v>Removed stations</x:v>
      </x:c>
      <x:c r="J5" s="14" t="str">
        <x:v>Lower cripples</x:v>
      </x:c>
      <x:c r="K5" s="14" t="str">
        <x:v>Jack studs</x:v>
      </x:c>
      <x:c r="L5" s="14" t="str">
        <x:v>King studs</x:v>
      </x:c>
    </x:row>
    <x:row r="6" ht="24" customHeight="1">
      <x:c r="A6" s="5" t="str">
        <x:v>A1</x:v>
      </x:c>
      <x:c r="B6" s="5" t="str">
        <x:v>Door</x:v>
      </x:c>
      <x:c r="C6" s="11" t="n">
        <x:v>3.203125</x:v>
      </x:c>
      <x:c r="D6" s="11" t="n">
        <x:v>8</x:v>
      </x:c>
      <x:c r="E6" s="11" t="n">
        <x:f>C6*D6</x:f>
        <x:v>25.625</x:v>
      </x:c>
      <x:c r="F6" s="11" t="n">
        <x:f>C6+'Inputs'!B19</x:f>
        <x:v>4.203125</x:v>
      </x:c>
      <x:c r="G6" s="5" t="n">
        <x:f>'Inputs'!B18</x:f>
        <x:v>3</x:v>
      </x:c>
      <x:c r="H6" s="5" t="n">
        <x:v>6</x:v>
      </x:c>
      <x:c r="I6" s="5" t="n">
        <x:f>ROUNDUP(C6*12/'Inputs'!B13,0)</x:f>
        <x:v>3</x:v>
      </x:c>
      <x:c r="J6" s="5" t="n">
        <x:f>IF(B6="Window",MAX(I6-1,0),0)</x:f>
        <x:v>0</x:v>
      </x:c>
      <x:c r="K6" s="5" t="n">
        <x:f>'Inputs'!B23</x:f>
        <x:v>4</x:v>
      </x:c>
      <x:c r="L6" s="5" t="n">
        <x:f>'Inputs'!B22</x:f>
        <x:v>2</x:v>
      </x:c>
    </x:row>
    <x:row r="7" ht="24" customHeight="1">
      <x:c r="A7" s="5" t="str">
        <x:v>B1</x:v>
      </x:c>
      <x:c r="B7" s="5" t="str">
        <x:v>Window</x:v>
      </x:c>
      <x:c r="C7" s="11" t="n">
        <x:v>6.3125</x:v>
      </x:c>
      <x:c r="D7" s="11" t="n">
        <x:v>6.458333333333333</x:v>
      </x:c>
      <x:c r="E7" s="11" t="n">
        <x:f>C7*D7</x:f>
        <x:v>40.768229166666664</x:v>
      </x:c>
      <x:c r="F7" s="11" t="n">
        <x:f>C7+'Inputs'!B19</x:f>
        <x:v>7.3125</x:v>
      </x:c>
      <x:c r="G7" s="5" t="n">
        <x:f>'Inputs'!B18</x:f>
        <x:v>3</x:v>
      </x:c>
      <x:c r="H7" s="5" t="n">
        <x:v>8</x:v>
      </x:c>
      <x:c r="I7" s="5" t="n">
        <x:f>ROUNDUP(C7*12/'Inputs'!B13,0)</x:f>
        <x:v>5</x:v>
      </x:c>
      <x:c r="J7" s="5" t="n">
        <x:f>IF(B7="Window",MAX(I7-1,0),0)</x:f>
        <x:v>4</x:v>
      </x:c>
      <x:c r="K7" s="5" t="n">
        <x:f>'Inputs'!B23</x:f>
        <x:v>4</x:v>
      </x:c>
      <x:c r="L7" s="5" t="n">
        <x:f>'Inputs'!B22</x:f>
        <x:v>2</x:v>
      </x:c>
    </x:row>
    <x:row r="8" ht="24" customHeight="1">
      <x:c r="A8" s="5" t="str">
        <x:v>C1</x:v>
      </x:c>
      <x:c r="B8" s="5" t="str">
        <x:v>Door</x:v>
      </x:c>
      <x:c r="C8" s="11" t="n">
        <x:v>3.203125</x:v>
      </x:c>
      <x:c r="D8" s="11" t="n">
        <x:v>8</x:v>
      </x:c>
      <x:c r="E8" s="11" t="n">
        <x:f>C8*D8</x:f>
        <x:v>25.625</x:v>
      </x:c>
      <x:c r="F8" s="11" t="n">
        <x:f>C8+'Inputs'!B19</x:f>
        <x:v>4.203125</x:v>
      </x:c>
      <x:c r="G8" s="5" t="n">
        <x:f>'Inputs'!B18</x:f>
        <x:v>3</x:v>
      </x:c>
      <x:c r="H8" s="5" t="n">
        <x:v>6</x:v>
      </x:c>
      <x:c r="I8" s="5" t="n">
        <x:f>ROUNDUP(C8*12/'Inputs'!B13,0)</x:f>
        <x:v>3</x:v>
      </x:c>
      <x:c r="J8" s="5" t="n">
        <x:f>IF(B8="Window",MAX(I8-1,0),0)</x:f>
        <x:v>0</x:v>
      </x:c>
      <x:c r="K8" s="5" t="n">
        <x:f>'Inputs'!B23</x:f>
        <x:v>4</x:v>
      </x:c>
      <x:c r="L8" s="5" t="n">
        <x:f>'Inputs'!B22</x:f>
        <x:v>2</x:v>
      </x:c>
    </x:row>
    <x:row r="9" ht="24" customHeight="1">
      <x:c r="A9" s="5" t="str">
        <x:v>D1</x:v>
      </x:c>
      <x:c r="B9" s="5" t="str">
        <x:v>Window</x:v>
      </x:c>
      <x:c r="C9" s="11" t="n">
        <x:v>3.1979166666666665</x:v>
      </x:c>
      <x:c r="D9" s="11" t="n">
        <x:v>6.458333333333333</x:v>
      </x:c>
      <x:c r="E9" s="11" t="n">
        <x:f>C9*D9</x:f>
        <x:v>20.653211805555554</x:v>
      </x:c>
      <x:c r="F9" s="11" t="n">
        <x:f>C9+'Inputs'!B19</x:f>
        <x:v>4.197916666666666</x:v>
      </x:c>
      <x:c r="G9" s="5" t="n">
        <x:f>'Inputs'!B18</x:f>
        <x:v>3</x:v>
      </x:c>
      <x:c r="H9" s="5" t="n">
        <x:v>6</x:v>
      </x:c>
      <x:c r="I9" s="5" t="n">
        <x:f>ROUNDUP(C9*12/'Inputs'!B13,0)</x:f>
        <x:v>3</x:v>
      </x:c>
      <x:c r="J9" s="5" t="n">
        <x:f>IF(B9="Window",MAX(I9-1,0),0)</x:f>
        <x:v>2</x:v>
      </x:c>
      <x:c r="K9" s="5" t="n">
        <x:f>'Inputs'!B23</x:f>
        <x:v>4</x:v>
      </x:c>
      <x:c r="L9" s="5" t="n">
        <x:f>'Inputs'!B22</x:f>
        <x:v>2</x:v>
      </x:c>
    </x:row>
    <x:row r="10" ht="24" customHeight="1">
      <x:c r="A10" s="5" t="str">
        <x:v>E1</x:v>
      </x:c>
      <x:c r="B10" s="5" t="str">
        <x:v>Window</x:v>
      </x:c>
      <x:c r="C10" s="11" t="n">
        <x:v>9.427083333333334</x:v>
      </x:c>
      <x:c r="D10" s="11" t="n">
        <x:v>6.458333333333333</x:v>
      </x:c>
      <x:c r="E10" s="11" t="n">
        <x:f>C10*D10</x:f>
        <x:v>60.88324652777778</x:v>
      </x:c>
      <x:c r="F10" s="11" t="n">
        <x:f>C10+'Inputs'!B19</x:f>
        <x:v>10.427083333333334</x:v>
      </x:c>
      <x:c r="G10" s="5" t="n">
        <x:f>'Inputs'!B18</x:f>
        <x:v>3</x:v>
      </x:c>
      <x:c r="H10" s="5" t="n">
        <x:v>12</x:v>
      </x:c>
      <x:c r="I10" s="5" t="n">
        <x:f>ROUNDUP(C10*12/'Inputs'!B13,0)</x:f>
        <x:v>8</x:v>
      </x:c>
      <x:c r="J10" s="5" t="n">
        <x:f>IF(B10="Window",MAX(I10-1,0),0)</x:f>
        <x:v>7</x:v>
      </x:c>
      <x:c r="K10" s="5" t="n">
        <x:f>'Inputs'!B23</x:f>
        <x:v>4</x:v>
      </x:c>
      <x:c r="L10" s="5" t="n">
        <x:f>'Inputs'!B22</x:f>
        <x:v>2</x:v>
      </x:c>
    </x:row>
    <x:row r="11" ht="24" customHeight="1">
      <x:c r="A11" s="5" t="str">
        <x:v>F1</x:v>
      </x:c>
      <x:c r="B11" s="5" t="str">
        <x:v>Window</x:v>
      </x:c>
      <x:c r="C11" s="11" t="n">
        <x:v>3.1979166666666665</x:v>
      </x:c>
      <x:c r="D11" s="11" t="n">
        <x:v>6.458333333333333</x:v>
      </x:c>
      <x:c r="E11" s="11" t="n">
        <x:f>C11*D11</x:f>
        <x:v>20.653211805555554</x:v>
      </x:c>
      <x:c r="F11" s="11" t="n">
        <x:f>C11+'Inputs'!B19</x:f>
        <x:v>4.197916666666666</x:v>
      </x:c>
      <x:c r="G11" s="5" t="n">
        <x:f>'Inputs'!B18</x:f>
        <x:v>3</x:v>
      </x:c>
      <x:c r="H11" s="5" t="n">
        <x:v>6</x:v>
      </x:c>
      <x:c r="I11" s="5" t="n">
        <x:f>ROUNDUP(C11*12/'Inputs'!B13,0)</x:f>
        <x:v>3</x:v>
      </x:c>
      <x:c r="J11" s="5" t="n">
        <x:f>IF(B11="Window",MAX(I11-1,0),0)</x:f>
        <x:v>2</x:v>
      </x:c>
      <x:c r="K11" s="5" t="n">
        <x:f>'Inputs'!B23</x:f>
        <x:v>4</x:v>
      </x:c>
      <x:c r="L11" s="5" t="n">
        <x:f>'Inputs'!B22</x:f>
        <x:v>2</x:v>
      </x:c>
    </x:row>
    <x:row r="12" ht="24" customHeight="1">
      <x:c r="A12" s="5" t="str">
        <x:v>G1</x:v>
      </x:c>
      <x:c r="B12" s="5" t="str">
        <x:v>Door</x:v>
      </x:c>
      <x:c r="C12" s="11" t="n">
        <x:v>3.203125</x:v>
      </x:c>
      <x:c r="D12" s="11" t="n">
        <x:v>8</x:v>
      </x:c>
      <x:c r="E12" s="11" t="n">
        <x:f>C12*D12</x:f>
        <x:v>25.625</x:v>
      </x:c>
      <x:c r="F12" s="11" t="n">
        <x:f>C12+'Inputs'!B19</x:f>
        <x:v>4.203125</x:v>
      </x:c>
      <x:c r="G12" s="5" t="n">
        <x:f>'Inputs'!B18</x:f>
        <x:v>3</x:v>
      </x:c>
      <x:c r="H12" s="5" t="n">
        <x:v>6</x:v>
      </x:c>
      <x:c r="I12" s="5" t="n">
        <x:f>ROUNDUP(C12*12/'Inputs'!B13,0)</x:f>
        <x:v>3</x:v>
      </x:c>
      <x:c r="J12" s="5" t="n">
        <x:f>IF(B12="Window",MAX(I12-1,0),0)</x:f>
        <x:v>0</x:v>
      </x:c>
      <x:c r="K12" s="5" t="n">
        <x:f>'Inputs'!B23</x:f>
        <x:v>4</x:v>
      </x:c>
      <x:c r="L12" s="5" t="n">
        <x:f>'Inputs'!B22</x:f>
        <x:v>2</x:v>
      </x:c>
    </x:row>
    <x:row r="13" ht="24" customHeight="1">
      <x:c r="A13" s="5" t="str">
        <x:v>H1</x:v>
      </x:c>
      <x:c r="B13" s="5" t="str">
        <x:v>Window</x:v>
      </x:c>
      <x:c r="C13" s="11" t="n">
        <x:v>6.3125</x:v>
      </x:c>
      <x:c r="D13" s="11" t="n">
        <x:v>6.458333333333333</x:v>
      </x:c>
      <x:c r="E13" s="11" t="n">
        <x:f>C13*D13</x:f>
        <x:v>40.768229166666664</x:v>
      </x:c>
      <x:c r="F13" s="11" t="n">
        <x:f>C13+'Inputs'!B19</x:f>
        <x:v>7.3125</x:v>
      </x:c>
      <x:c r="G13" s="5" t="n">
        <x:f>'Inputs'!B18</x:f>
        <x:v>3</x:v>
      </x:c>
      <x:c r="H13" s="5" t="n">
        <x:v>8</x:v>
      </x:c>
      <x:c r="I13" s="5" t="n">
        <x:f>ROUNDUP(C13*12/'Inputs'!B13,0)</x:f>
        <x:v>5</x:v>
      </x:c>
      <x:c r="J13" s="5" t="n">
        <x:f>IF(B13="Window",MAX(I13-1,0),0)</x:f>
        <x:v>4</x:v>
      </x:c>
      <x:c r="K13" s="5" t="n">
        <x:f>'Inputs'!B23</x:f>
        <x:v>4</x:v>
      </x:c>
      <x:c r="L13" s="5" t="n">
        <x:f>'Inputs'!B22</x:f>
        <x:v>2</x:v>
      </x:c>
    </x:row>
    <x:row r="14" ht="24" customHeight="1">
      <x:c r="A14" s="5" t="str">
        <x:v>I1</x:v>
      </x:c>
      <x:c r="B14" s="5" t="str">
        <x:v>Door</x:v>
      </x:c>
      <x:c r="C14" s="11" t="n">
        <x:v>3.203125</x:v>
      </x:c>
      <x:c r="D14" s="11" t="n">
        <x:v>8</x:v>
      </x:c>
      <x:c r="E14" s="11" t="n">
        <x:f>C14*D14</x:f>
        <x:v>25.625</x:v>
      </x:c>
      <x:c r="F14" s="11" t="n">
        <x:f>C14+'Inputs'!B19</x:f>
        <x:v>4.203125</x:v>
      </x:c>
      <x:c r="G14" s="5" t="n">
        <x:f>'Inputs'!B18</x:f>
        <x:v>3</x:v>
      </x:c>
      <x:c r="H14" s="5" t="n">
        <x:v>6</x:v>
      </x:c>
      <x:c r="I14" s="5" t="n">
        <x:f>ROUNDUP(C14*12/'Inputs'!B13,0)</x:f>
        <x:v>3</x:v>
      </x:c>
      <x:c r="J14" s="5" t="n">
        <x:f>IF(B14="Window",MAX(I14-1,0),0)</x:f>
        <x:v>0</x:v>
      </x:c>
      <x:c r="K14" s="5" t="n">
        <x:f>'Inputs'!B23</x:f>
        <x:v>4</x:v>
      </x:c>
      <x:c r="L14" s="5" t="n">
        <x:f>'Inputs'!B22</x:f>
        <x:v>2</x:v>
      </x:c>
    </x:row>
    <x:row r="15" ht="24" customHeight="1">
      <x:c r="A15" s="5"/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</x:row>
    <x:row r="16" ht="24" customHeight="1">
      <x:c r="A16" s="5" t="str">
        <x:v>Totals</x:v>
      </x:c>
      <x:c r="B16" s="5"/>
      <x:c r="C16" s="5"/>
      <x:c r="D16" s="5"/>
      <x:c r="E16" s="5" t="n">
        <x:f>SUM(E6:E14)</x:f>
        <x:v>286.22612847222223</x:v>
      </x:c>
      <x:c r="F16" s="5" t="n">
        <x:f>SUM(F6:F14)</x:f>
        <x:v>50.260416666666664</x:v>
      </x:c>
      <x:c r="G16" s="5" t="n">
        <x:f>SUM(G6:G14)</x:f>
        <x:v>27</x:v>
      </x:c>
      <x:c r="H16" s="5"/>
      <x:c r="I16" s="5" t="n">
        <x:f>SUM(I6:I14)</x:f>
        <x:v>36</x:v>
      </x:c>
      <x:c r="J16" s="5" t="n">
        <x:f>SUM(J6:J14)</x:f>
        <x:v>19</x:v>
      </x:c>
      <x:c r="K16" s="5" t="n">
        <x:f>SUM(K6:K14)</x:f>
        <x:v>36</x:v>
      </x:c>
      <x:c r="L16" s="5" t="n">
        <x:f>SUM(L6:L14)</x:f>
        <x:v>18</x:v>
      </x:c>
    </x:row>
    <x:row r="17" ht="24" customHeight="1">
      <x:c r="A17" s="5"/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5"/>
    </x:row>
    <x:row r="18" ht="24" customHeight="1">
      <x:c r="A18" s="5"/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5"/>
    </x:row>
    <x:row r="19" ht="30" customHeight="1">
      <x:c r="A19" s="14" t="str">
        <x:v>Wall run</x:v>
      </x:c>
      <x:c r="B19" s="14" t="str">
        <x:v>Length FT</x:v>
      </x:c>
      <x:c r="C19" s="14" t="str">
        <x:v>Baseline studs</x:v>
      </x:c>
      <x:c r="D19" s="14" t="str">
        <x:v>Basis</x:v>
      </x:c>
      <x:c r="E19" s="5"/>
      <x:c r="F19" s="5"/>
      <x:c r="G19" s="5"/>
      <x:c r="H19" s="5"/>
      <x:c r="I19" s="5"/>
      <x:c r="J19" s="5"/>
      <x:c r="K19" s="5"/>
      <x:c r="L19" s="5"/>
    </x:row>
    <x:row r="20" ht="24" customHeight="1">
      <x:c r="A20" s="5" t="str">
        <x:v>Left wall</x:v>
      </x:c>
      <x:c r="B20" s="11" t="n">
        <x:f>'Inputs'!B7</x:f>
        <x:v>22.083333333333332</x:v>
      </x:c>
      <x:c r="C20" s="5" t="n">
        <x:f>ROUNDUP(B20*12/'Inputs'!B13,0)+1</x:f>
        <x:v>18</x:v>
      </x:c>
      <x:c r="D20" s="5" t="str">
        <x:v>Run starts/ends included; extra corner studs separate</x:v>
      </x:c>
      <x:c r="E20" s="5"/>
      <x:c r="F20" s="5"/>
      <x:c r="G20" s="5"/>
      <x:c r="H20" s="5"/>
      <x:c r="I20" s="5"/>
      <x:c r="J20" s="5"/>
      <x:c r="K20" s="5"/>
      <x:c r="L20" s="5"/>
    </x:row>
    <x:row r="21" ht="24" customHeight="1">
      <x:c r="A21" s="5" t="str">
        <x:v>Left shoulder</x:v>
      </x:c>
      <x:c r="B21" s="11" t="n">
        <x:f>('Inputs'!B6-'Inputs'!B8)/2</x:f>
        <x:v>7</x:v>
      </x:c>
      <x:c r="C21" s="5" t="n">
        <x:f>ROUNDUP(B21*12/'Inputs'!B13,0)+1</x:f>
        <x:v>7</x:v>
      </x:c>
      <x:c r="D21" s="5" t="str">
        <x:v>Run starts/ends included; extra corner studs separate</x:v>
      </x:c>
      <x:c r="E21" s="5"/>
      <x:c r="F21" s="5"/>
      <x:c r="G21" s="5"/>
      <x:c r="H21" s="5"/>
      <x:c r="I21" s="5"/>
      <x:c r="J21" s="5"/>
      <x:c r="K21" s="5"/>
      <x:c r="L21" s="5"/>
    </x:row>
    <x:row r="22" ht="24" customHeight="1">
      <x:c r="A22" s="5" t="str">
        <x:v>Left return</x:v>
      </x:c>
      <x:c r="B22" s="11" t="n">
        <x:f>'Inputs'!B9</x:f>
        <x:v>1.7708333333333335</x:v>
      </x:c>
      <x:c r="C22" s="5" t="n">
        <x:f>ROUNDUP(B22*12/'Inputs'!B13,0)+1</x:f>
        <x:v>3</x:v>
      </x:c>
      <x:c r="D22" s="5" t="str">
        <x:v>Run starts/ends included; extra corner studs separate</x:v>
      </x:c>
      <x:c r="E22" s="5"/>
      <x:c r="F22" s="5"/>
      <x:c r="G22" s="5"/>
      <x:c r="H22" s="5"/>
      <x:c r="I22" s="5"/>
      <x:c r="J22" s="5"/>
      <x:c r="K22" s="5"/>
      <x:c r="L22" s="5"/>
    </x:row>
    <x:row r="23" ht="24" customHeight="1">
      <x:c r="A23" s="5" t="str">
        <x:v>Bay face</x:v>
      </x:c>
      <x:c r="B23" s="11" t="n">
        <x:f>'Inputs'!B8</x:f>
        <x:v>14.9375</x:v>
      </x:c>
      <x:c r="C23" s="5" t="n">
        <x:f>ROUNDUP(B23*12/'Inputs'!B13,0)+1</x:f>
        <x:v>13</x:v>
      </x:c>
      <x:c r="D23" s="5" t="str">
        <x:v>Run starts/ends included; extra corner studs separate</x:v>
      </x:c>
      <x:c r="E23" s="5"/>
      <x:c r="F23" s="5"/>
      <x:c r="G23" s="5"/>
      <x:c r="H23" s="5"/>
      <x:c r="I23" s="5"/>
      <x:c r="J23" s="5"/>
      <x:c r="K23" s="5"/>
      <x:c r="L23" s="5"/>
    </x:row>
    <x:row r="24" ht="24" customHeight="1">
      <x:c r="A24" s="5" t="str">
        <x:v>Right return</x:v>
      </x:c>
      <x:c r="B24" s="11" t="n">
        <x:f>'Inputs'!B9</x:f>
        <x:v>1.7708333333333335</x:v>
      </x:c>
      <x:c r="C24" s="5" t="n">
        <x:f>ROUNDUP(B24*12/'Inputs'!B13,0)+1</x:f>
        <x:v>3</x:v>
      </x:c>
      <x:c r="D24" s="5" t="str">
        <x:v>Run starts/ends included; extra corner studs separate</x:v>
      </x:c>
      <x:c r="E24" s="5"/>
      <x:c r="F24" s="5"/>
      <x:c r="G24" s="5"/>
      <x:c r="H24" s="5"/>
      <x:c r="I24" s="5"/>
      <x:c r="J24" s="5"/>
      <x:c r="K24" s="5"/>
      <x:c r="L24" s="5"/>
    </x:row>
    <x:row r="25" ht="24" customHeight="1">
      <x:c r="A25" s="5" t="str">
        <x:v>Right shoulder</x:v>
      </x:c>
      <x:c r="B25" s="11" t="n">
        <x:f>('Inputs'!B6-'Inputs'!B8)/2</x:f>
        <x:v>7</x:v>
      </x:c>
      <x:c r="C25" s="5" t="n">
        <x:f>ROUNDUP(B25*12/'Inputs'!B13,0)+1</x:f>
        <x:v>7</x:v>
      </x:c>
      <x:c r="D25" s="5" t="str">
        <x:v>Run starts/ends included; extra corner studs separate</x:v>
      </x:c>
      <x:c r="E25" s="5"/>
      <x:c r="F25" s="5"/>
      <x:c r="G25" s="5"/>
      <x:c r="H25" s="5"/>
      <x:c r="I25" s="5"/>
      <x:c r="J25" s="5"/>
      <x:c r="K25" s="5"/>
      <x:c r="L25" s="5"/>
    </x:row>
    <x:row r="26" ht="24" customHeight="1">
      <x:c r="A26" s="5" t="str">
        <x:v>Right wall</x:v>
      </x:c>
      <x:c r="B26" s="11" t="n">
        <x:f>'Inputs'!B7</x:f>
        <x:v>22.083333333333332</x:v>
      </x:c>
      <x:c r="C26" s="5" t="n">
        <x:f>ROUNDUP(B26*12/'Inputs'!B13,0)+1</x:f>
        <x:v>18</x:v>
      </x:c>
      <x:c r="D26" s="5" t="str">
        <x:v>Run starts/ends included; extra corner studs separate</x:v>
      </x:c>
      <x:c r="E26" s="5"/>
      <x:c r="F26" s="5"/>
      <x:c r="G26" s="5"/>
      <x:c r="H26" s="5"/>
      <x:c r="I26" s="5"/>
      <x:c r="J26" s="5"/>
      <x:c r="K26" s="5"/>
      <x:c r="L26" s="5"/>
    </x:row>
    <x:row r="27" ht="24" customHeight="1">
      <x:c r="A27" s="5"/>
      <x:c r="B27" s="11"/>
      <x:c r="C27" s="5"/>
      <x:c r="D27" s="5"/>
      <x:c r="E27" s="5"/>
      <x:c r="F27" s="5"/>
      <x:c r="G27" s="5"/>
      <x:c r="H27" s="5"/>
      <x:c r="I27" s="5"/>
      <x:c r="J27" s="5"/>
      <x:c r="K27" s="5"/>
      <x:c r="L27" s="5"/>
    </x:row>
    <x:row r="28" ht="24" customHeight="1">
      <x:c r="A28" s="5" t="str">
        <x:v>Totals</x:v>
      </x:c>
      <x:c r="B28" s="11" t="n">
        <x:f>SUM(B20:B26)</x:f>
        <x:v>76.64583333333333</x:v>
      </x:c>
      <x:c r="C28" s="5" t="n">
        <x:f>SUM(C20:C26)</x:f>
        <x:v>69</x:v>
      </x:c>
      <x:c r="D28" s="5"/>
      <x:c r="E28" s="5"/>
      <x:c r="F28" s="5"/>
      <x:c r="G28" s="5"/>
      <x:c r="H28" s="5"/>
      <x:c r="I28" s="5"/>
      <x:c r="J28" s="5"/>
      <x:c r="K28" s="5"/>
      <x:c r="L28" s="5"/>
    </x:row>
    <x:row r="29" ht="24" customHeight="1">
      <x:c r="A29" s="5"/>
      <x:c r="B29" s="5"/>
      <x:c r="C29" s="5"/>
      <x:c r="D29" s="5"/>
      <x:c r="E29" s="5"/>
      <x:c r="F29" s="5"/>
      <x:c r="G29" s="5"/>
      <x:c r="H29" s="5"/>
      <x:c r="I29" s="5"/>
      <x:c r="J29" s="5"/>
      <x:c r="K29" s="5"/>
      <x:c r="L29" s="5"/>
    </x:row>
    <x:row r="30" ht="24" customHeight="1">
      <x:c r="A30" s="5"/>
      <x:c r="B30" s="5"/>
      <x:c r="C30" s="5"/>
      <x:c r="D30" s="5"/>
      <x:c r="E30" s="5"/>
      <x:c r="F30" s="5"/>
      <x:c r="G30" s="5"/>
      <x:c r="H30" s="5"/>
      <x:c r="I30" s="5"/>
      <x:c r="J30" s="5"/>
      <x:c r="K30" s="5"/>
      <x:c r="L30" s="5"/>
    </x:row>
    <x:row r="31" ht="30" customHeight="1">
      <x:c r="A31" s="14" t="str">
        <x:v>Metric</x:v>
      </x:c>
      <x:c r="B31" s="14" t="str">
        <x:v>Result</x:v>
      </x:c>
      <x:c r="C31" s="14" t="str">
        <x:v>Unit</x:v>
      </x:c>
      <x:c r="D31" s="14" t="str">
        <x:v>Method note</x:v>
      </x:c>
      <x:c r="E31" s="5"/>
      <x:c r="F31" s="5"/>
      <x:c r="G31" s="5"/>
      <x:c r="H31" s="5"/>
      <x:c r="I31" s="5"/>
      <x:c r="J31" s="5"/>
      <x:c r="K31" s="5"/>
      <x:c r="L31" s="5"/>
    </x:row>
    <x:row r="32" ht="24" customHeight="1">
      <x:c r="A32" s="5" t="str">
        <x:v>Main floor rectangle</x:v>
      </x:c>
      <x:c r="B32" s="23" t="n">
        <x:f>'Inputs'!B6*'Inputs'!B7</x:f>
        <x:v>639.0364583333333</x:v>
      </x:c>
      <x:c r="C32" s="5" t="str">
        <x:v>SF</x:v>
      </x:c>
      <x:c r="D32" s="5"/>
      <x:c r="E32" s="5"/>
      <x:c r="F32" s="5"/>
      <x:c r="G32" s="5"/>
      <x:c r="H32" s="5"/>
      <x:c r="I32" s="5"/>
      <x:c r="J32" s="5"/>
      <x:c r="K32" s="5"/>
      <x:c r="L32" s="5"/>
    </x:row>
    <x:row r="33" ht="24" customHeight="1">
      <x:c r="A33" s="5" t="str">
        <x:v>Bay floor</x:v>
      </x:c>
      <x:c r="B33" s="23" t="n">
        <x:f>'Inputs'!B8*'Inputs'!B9</x:f>
        <x:v>26.451822916666668</x:v>
      </x:c>
      <x:c r="C33" s="5" t="str">
        <x:v>SF</x:v>
      </x:c>
      <x:c r="D33" s="5"/>
      <x:c r="E33" s="5"/>
      <x:c r="F33" s="5"/>
      <x:c r="G33" s="5"/>
      <x:c r="H33" s="5"/>
      <x:c r="I33" s="5"/>
      <x:c r="J33" s="5"/>
      <x:c r="K33" s="5"/>
      <x:c r="L33" s="5"/>
    </x:row>
    <x:row r="34" ht="24" customHeight="1">
      <x:c r="A34" s="5" t="str">
        <x:v>Gross floor</x:v>
      </x:c>
      <x:c r="B34" s="23" t="n">
        <x:f>B32+B33</x:f>
        <x:v>665.4882812499999</x:v>
      </x:c>
      <x:c r="C34" s="5" t="str">
        <x:v>SF</x:v>
      </x:c>
      <x:c r="D34" s="5"/>
      <x:c r="E34" s="5"/>
      <x:c r="F34" s="5"/>
      <x:c r="G34" s="5"/>
      <x:c r="H34" s="5"/>
      <x:c r="I34" s="5"/>
      <x:c r="J34" s="5"/>
      <x:c r="K34" s="5"/>
      <x:c r="L34" s="5"/>
    </x:row>
    <x:row r="35" ht="24" customHeight="1">
      <x:c r="A35" s="5" t="str">
        <x:v>Exterior wall run</x:v>
      </x:c>
      <x:c r="B35" s="23" t="n">
        <x:f>B28</x:f>
        <x:v>76.64583333333333</x:v>
      </x:c>
      <x:c r="C35" s="5" t="str">
        <x:v>LF</x:v>
      </x:c>
      <x:c r="D35" s="5"/>
      <x:c r="E35" s="5"/>
      <x:c r="F35" s="5"/>
      <x:c r="G35" s="5"/>
      <x:c r="H35" s="5"/>
      <x:c r="I35" s="5"/>
      <x:c r="J35" s="5"/>
      <x:c r="K35" s="5"/>
      <x:c r="L35" s="5"/>
    </x:row>
    <x:row r="36" ht="24" customHeight="1">
      <x:c r="A36" s="5" t="str">
        <x:v>Existing interface</x:v>
      </x:c>
      <x:c r="B36" s="23" t="n">
        <x:f>'Inputs'!B6</x:f>
        <x:v>28.9375</x:v>
      </x:c>
      <x:c r="C36" s="5" t="str">
        <x:v>LF</x:v>
      </x:c>
      <x:c r="D36" s="5"/>
      <x:c r="E36" s="5"/>
      <x:c r="F36" s="5"/>
      <x:c r="G36" s="5"/>
      <x:c r="H36" s="5"/>
      <x:c r="I36" s="5"/>
      <x:c r="J36" s="5"/>
      <x:c r="K36" s="5"/>
      <x:c r="L36" s="5"/>
    </x:row>
    <x:row r="37" ht="24" customHeight="1">
      <x:c r="A37" s="5" t="str">
        <x:v>Full floor perimeter</x:v>
      </x:c>
      <x:c r="B37" s="23" t="n">
        <x:f>B35+B36</x:f>
        <x:v>105.58333333333333</x:v>
      </x:c>
      <x:c r="C37" s="5" t="str">
        <x:v>LF</x:v>
      </x:c>
      <x:c r="D37" s="5"/>
      <x:c r="E37" s="5"/>
      <x:c r="F37" s="5"/>
      <x:c r="G37" s="5"/>
      <x:c r="H37" s="5"/>
      <x:c r="I37" s="5"/>
      <x:c r="J37" s="5"/>
      <x:c r="K37" s="5"/>
      <x:c r="L37" s="5"/>
    </x:row>
    <x:row r="38" ht="24" customHeight="1">
      <x:c r="A38" s="5" t="str">
        <x:v>Gross wall sheathing</x:v>
      </x:c>
      <x:c r="B38" s="23" t="n">
        <x:f>B35*'Inputs'!B12</x:f>
        <x:v>712.1675347222222</x:v>
      </x:c>
      <x:c r="C38" s="5" t="str">
        <x:v>SF</x:v>
      </x:c>
      <x:c r="D38" s="5"/>
      <x:c r="E38" s="5"/>
      <x:c r="F38" s="5"/>
      <x:c r="G38" s="5"/>
      <x:c r="H38" s="5"/>
      <x:c r="I38" s="5"/>
      <x:c r="J38" s="5"/>
      <x:c r="K38" s="5"/>
      <x:c r="L38" s="5"/>
    </x:row>
    <x:row r="39" ht="24" customHeight="1">
      <x:c r="A39" s="5" t="str">
        <x:v>Openings</x:v>
      </x:c>
      <x:c r="B39" s="23" t="n">
        <x:f>E16</x:f>
        <x:v>286.22612847222223</x:v>
      </x:c>
      <x:c r="C39" s="5" t="str">
        <x:v>SF</x:v>
      </x:c>
      <x:c r="D39" s="5"/>
      <x:c r="E39" s="5"/>
      <x:c r="F39" s="5"/>
      <x:c r="G39" s="5"/>
      <x:c r="H39" s="5"/>
      <x:c r="I39" s="5"/>
      <x:c r="J39" s="5"/>
      <x:c r="K39" s="5"/>
      <x:c r="L39" s="5"/>
    </x:row>
    <x:row r="40" ht="24" customHeight="1">
      <x:c r="A40" s="5" t="str">
        <x:v>Net wall sheathing</x:v>
      </x:c>
      <x:c r="B40" s="23" t="n">
        <x:f>B38-B39</x:f>
        <x:v>425.94140624999994</x:v>
      </x:c>
      <x:c r="C40" s="5" t="str">
        <x:v>SF</x:v>
      </x:c>
      <x:c r="D40" s="5" t="str">
        <x:v>Net area disclosed; stock order uses gross walls, no opening credit.</x:v>
      </x:c>
      <x:c r="E40" s="5"/>
      <x:c r="F40" s="5"/>
      <x:c r="G40" s="5"/>
      <x:c r="H40" s="5"/>
      <x:c r="I40" s="5"/>
      <x:c r="J40" s="5"/>
      <x:c r="K40" s="5"/>
      <x:c r="L40" s="5"/>
    </x:row>
    <x:row r="41" ht="24" customHeight="1">
      <x:c r="A41" s="5" t="str">
        <x:v>Roof base projection</x:v>
      </x:c>
      <x:c r="B41" s="23" t="n">
        <x:f>('Inputs'!B6+2*'Inputs'!B10)*('Inputs'!B7+'Inputs'!B10)</x:f>
        <x:v>774.763454861111</x:v>
      </x:c>
      <x:c r="C41" s="5" t="str">
        <x:v>SF</x:v>
      </x:c>
      <x:c r="D41" s="5"/>
      <x:c r="E41" s="5"/>
      <x:c r="F41" s="5"/>
      <x:c r="G41" s="5"/>
      <x:c r="H41" s="5"/>
      <x:c r="I41" s="5"/>
      <x:c r="J41" s="5"/>
      <x:c r="K41" s="5"/>
      <x:c r="L41" s="5"/>
    </x:row>
    <x:row r="42" ht="24" customHeight="1">
      <x:c r="A42" s="5" t="str">
        <x:v>Roof bay projection</x:v>
      </x:c>
      <x:c r="B42" s="23" t="n">
        <x:f>('Inputs'!B8+2*'Inputs'!B10)*'Inputs'!B9</x:f>
        <x:v>32.72352430555556</x:v>
      </x:c>
      <x:c r="C42" s="5" t="str">
        <x:v>SF</x:v>
      </x:c>
      <x:c r="D42" s="5"/>
      <x:c r="E42" s="5"/>
      <x:c r="F42" s="5"/>
      <x:c r="G42" s="5"/>
      <x:c r="H42" s="5"/>
      <x:c r="I42" s="5"/>
      <x:c r="J42" s="5"/>
      <x:c r="K42" s="5"/>
      <x:c r="L42" s="5"/>
    </x:row>
    <x:row r="43" ht="24" customHeight="1">
      <x:c r="A43" s="5" t="str">
        <x:v>Slope factor</x:v>
      </x:c>
      <x:c r="B43" s="23" t="n">
        <x:f>SQRT(1+('Inputs'!B11/12)^2)</x:f>
        <x:v>1.0476909133900132</x:v>
      </x:c>
      <x:c r="C43" s="5" t="str">
        <x:v>FACTOR</x:v>
      </x:c>
      <x:c r="D43" s="5"/>
      <x:c r="E43" s="5"/>
      <x:c r="F43" s="5"/>
      <x:c r="G43" s="5"/>
      <x:c r="H43" s="5"/>
      <x:c r="I43" s="5"/>
      <x:c r="J43" s="5"/>
      <x:c r="K43" s="5"/>
      <x:c r="L43" s="5"/>
    </x:row>
    <x:row r="44" ht="24" customHeight="1">
      <x:c r="A44" s="5" t="str">
        <x:v>Roof sloped area</x:v>
      </x:c>
      <x:c r="B44" s="23" t="n">
        <x:f>(B41+B42)*B43</x:f>
        <x:v>845.9967707536674</x:v>
      </x:c>
      <x:c r="C44" s="5" t="str">
        <x:v>SF</x:v>
      </x:c>
      <x:c r="D44" s="5"/>
      <x:c r="E44" s="5"/>
      <x:c r="F44" s="5"/>
      <x:c r="G44" s="5"/>
      <x:c r="H44" s="5"/>
      <x:c r="I44" s="5"/>
      <x:c r="J44" s="5"/>
      <x:c r="K44" s="5"/>
      <x:c r="L44" s="5"/>
    </x:row>
    <x:row r="45" ht="24" customHeight="1">
      <x:c r="A45" s="5" t="str">
        <x:v>Roof including tie-in</x:v>
      </x:c>
      <x:c r="B45" s="23" t="n">
        <x:f>B44+'Inputs'!B20</x:f>
        <x:v>925.9967707536674</x:v>
      </x:c>
      <x:c r="C45" s="5" t="str">
        <x:v>SF</x:v>
      </x:c>
      <x:c r="D45" s="5"/>
      <x:c r="E45" s="5"/>
      <x:c r="F45" s="5"/>
      <x:c r="G45" s="5"/>
      <x:c r="H45" s="5"/>
      <x:c r="I45" s="5"/>
      <x:c r="J45" s="5"/>
      <x:c r="K45" s="5"/>
      <x:c r="L45" s="5"/>
    </x:row>
    <x:row r="46" ht="24" customHeight="1">
      <x:c r="A46" s="5" t="str">
        <x:v>Floor member stations</x:v>
      </x:c>
      <x:c r="B46" s="23" t="n">
        <x:f>ROUNDUP('Inputs'!B6*12/'Inputs'!B14,0)+1</x:f>
        <x:v>23</x:v>
      </x:c>
      <x:c r="C46" s="5" t="str">
        <x:v>EA</x:v>
      </x:c>
      <x:c r="D46" s="5"/>
      <x:c r="E46" s="5"/>
      <x:c r="F46" s="5"/>
      <x:c r="G46" s="5"/>
      <x:c r="H46" s="5"/>
      <x:c r="I46" s="5"/>
      <x:c r="J46" s="5"/>
      <x:c r="K46" s="5"/>
      <x:c r="L46" s="5"/>
    </x:row>
    <x:row r="47" ht="24" customHeight="1">
      <x:c r="A47" s="5" t="str">
        <x:v>Floor rim excluding side joists</x:v>
      </x:c>
      <x:c r="B47" s="23" t="n">
        <x:f>B37-2*'Inputs'!B7</x:f>
        <x:v>61.416666666666664</x:v>
      </x:c>
      <x:c r="C47" s="5" t="str">
        <x:v>LF</x:v>
      </x:c>
      <x:c r="D47" s="5"/>
      <x:c r="E47" s="5"/>
      <x:c r="F47" s="5"/>
      <x:c r="G47" s="5"/>
      <x:c r="H47" s="5"/>
      <x:c r="I47" s="5"/>
      <x:c r="J47" s="5"/>
      <x:c r="K47" s="5"/>
      <x:c r="L47" s="5"/>
    </x:row>
    <x:row r="48" ht="24" customHeight="1">
      <x:c r="A48" s="5" t="str">
        <x:v>Floor bearing blocks</x:v>
      </x:c>
      <x:c r="B48" s="23" t="n">
        <x:f>B46-1</x:f>
        <x:v>22</x:v>
      </x:c>
      <x:c r="C48" s="5" t="str">
        <x:v>EA</x:v>
      </x:c>
      <x:c r="D48" s="5"/>
      <x:c r="E48" s="5"/>
      <x:c r="F48" s="5"/>
      <x:c r="G48" s="5"/>
      <x:c r="H48" s="5"/>
      <x:c r="I48" s="5"/>
      <x:c r="J48" s="5"/>
      <x:c r="K48" s="5"/>
      <x:c r="L48" s="5"/>
    </x:row>
    <x:row r="49" ht="24" customHeight="1">
      <x:c r="A49" s="5" t="str">
        <x:v>Common full-height studs</x:v>
      </x:c>
      <x:c r="B49" s="23" t="n">
        <x:f>C28-I16</x:f>
        <x:v>33</x:v>
      </x:c>
      <x:c r="C49" s="5" t="str">
        <x:v>EA</x:v>
      </x:c>
      <x:c r="D49" s="5" t="str">
        <x:v>Estimating station allowance, not a stud-by-stud shop layout.</x:v>
      </x:c>
      <x:c r="E49" s="5"/>
      <x:c r="F49" s="5"/>
      <x:c r="G49" s="5"/>
      <x:c r="H49" s="5"/>
      <x:c r="I49" s="5"/>
      <x:c r="J49" s="5"/>
      <x:c r="K49" s="5"/>
      <x:c r="L49" s="5"/>
    </x:row>
    <x:row r="50" ht="24" customHeight="1">
      <x:c r="A50" s="5" t="str">
        <x:v>Full-height studs total</x:v>
      </x:c>
      <x:c r="B50" s="23" t="n">
        <x:f>B49+L16+'Inputs'!B21</x:f>
        <x:v>65</x:v>
      </x:c>
      <x:c r="C50" s="5" t="str">
        <x:v>EA</x:v>
      </x:c>
      <x:c r="D50" s="5"/>
      <x:c r="E50" s="5"/>
      <x:c r="F50" s="5"/>
      <x:c r="G50" s="5"/>
      <x:c r="H50" s="5"/>
      <x:c r="I50" s="5"/>
      <x:c r="J50" s="5"/>
      <x:c r="K50" s="5"/>
      <x:c r="L50" s="5"/>
    </x:row>
    <x:row r="51" ht="24" customHeight="1">
      <x:c r="A51" s="5" t="str">
        <x:v>Roof primary assemblies</x:v>
      </x:c>
      <x:c r="B51" s="23" t="n">
        <x:f>ROUNDUP(('Inputs'!B7+'Inputs'!B9)*12/'Inputs'!B15,0)+1</x:f>
        <x:v>13</x:v>
      </x:c>
      <x:c r="C51" s="5" t="str">
        <x:v>EA</x:v>
      </x:c>
      <x:c r="D51" s="5"/>
      <x:c r="E51" s="5"/>
      <x:c r="F51" s="5"/>
      <x:c r="G51" s="5"/>
      <x:c r="H51" s="5"/>
      <x:c r="I51" s="5"/>
      <x:c r="J51" s="5"/>
      <x:c r="K51" s="5"/>
      <x:c r="L51" s="5"/>
    </x:row>
    <x:row r="52" ht="24" customHeight="1">
      <x:c r="A52" s="5" t="str">
        <x:v>Roof regular assemblies</x:v>
      </x:c>
      <x:c r="B52" s="23" t="n">
        <x:f>B51-'Inputs'!B27-'Inputs'!B28</x:f>
        <x:v>7</x:v>
      </x:c>
      <x:c r="C52" s="5" t="str">
        <x:v>EA</x:v>
      </x:c>
      <x:c r="D52" s="5"/>
      <x:c r="E52" s="5"/>
      <x:c r="F52" s="5"/>
      <x:c r="G52" s="5"/>
      <x:c r="H52" s="5"/>
      <x:c r="I52" s="5"/>
      <x:c r="J52" s="5"/>
      <x:c r="K52" s="5"/>
      <x:c r="L52" s="5"/>
    </x:row>
    <x:row r="53" ht="24" customHeight="1">
      <x:c r="A53" s="5" t="str">
        <x:v>Roof seat connections</x:v>
      </x:c>
      <x:c r="B53" s="23" t="n">
        <x:f>B51*2+'Inputs'!B26</x:f>
        <x:v>42</x:v>
      </x:c>
      <x:c r="C53" s="5" t="str">
        <x:v>EA</x:v>
      </x:c>
      <x:c r="D53" s="5"/>
      <x:c r="E53" s="5"/>
      <x:c r="F53" s="5"/>
      <x:c r="G53" s="5"/>
      <x:c r="H53" s="5"/>
      <x:c r="I53" s="5"/>
      <x:c r="J53" s="5"/>
      <x:c r="K53" s="5"/>
      <x:c r="L53" s="5"/>
    </x:row>
    <x:row r="54" ht="24" customHeight="1">
      <x:c r="A54" s="5" t="str">
        <x:v>Subfloor adhesive line</x:v>
      </x:c>
      <x:c r="B54" s="23" t="n">
        <x:f>B46*('Inputs'!B7+'Inputs'!B9)</x:f>
        <x:v>548.6458333333333</x:v>
      </x:c>
      <x:c r="C54" s="5" t="str">
        <x:v>LF</x:v>
      </x:c>
      <x:c r="D54" s="5"/>
      <x:c r="E54" s="5"/>
      <x:c r="F54" s="5"/>
      <x:c r="G54" s="5"/>
      <x:c r="H54" s="5"/>
      <x:c r="I54" s="5"/>
      <x:c r="J54" s="5"/>
      <x:c r="K54" s="5"/>
      <x:c r="L54" s="5"/>
    </x:row>
    <x:row r="55" ht="24" customHeight="1">
      <x:c r="A55" s="5" t="str">
        <x:v>Header ply cut footage</x:v>
      </x:c>
      <x:c r="B55" s="23" t="n">
        <x:f>SUMPRODUCT(F6:F14,G6:G14)</x:f>
        <x:v>150.78125</x:v>
      </x:c>
      <x:c r="C55" s="5" t="str">
        <x:v>LF</x:v>
      </x:c>
      <x:c r="D55" s="5"/>
      <x:c r="E55" s="5"/>
      <x:c r="F55" s="5"/>
      <x:c r="G55" s="5"/>
      <x:c r="H55" s="5"/>
      <x:c r="I55" s="5"/>
      <x:c r="J55" s="5"/>
      <x:c r="K55" s="5"/>
      <x:c r="L55" s="5"/>
    </x:row>
    <x:row r="56" ht="24" customHeight="1">
      <x:c r="A56" s="5" t="str">
        <x:v>Header order footage</x:v>
      </x:c>
      <x:c r="B56" s="23" t="n">
        <x:f>SUMPRODUCT(G6:G14,H6:H14)</x:f>
        <x:v>192</x:v>
      </x:c>
      <x:c r="C56" s="5" t="str">
        <x:v>LF</x:v>
      </x:c>
      <x:c r="D56" s="5"/>
      <x:c r="E56" s="5"/>
      <x:c r="F56" s="5"/>
      <x:c r="G56" s="5"/>
      <x:c r="H56" s="5"/>
      <x:c r="I56" s="5"/>
      <x:c r="J56" s="5"/>
      <x:c r="K56" s="5"/>
      <x:c r="L56" s="5"/>
    </x:row>
    <x:row r="57" ht="24" customHeight="1">
      <x:c r="A57" s="5" t="str">
        <x:v>Window sill footage</x:v>
      </x:c>
      <x:c r="B57" s="23" t="n">
        <x:f>SUMIFS(C6:C14,B6:B14,"Window")*2</x:f>
        <x:v>56.895833333333336</x:v>
      </x:c>
      <x:c r="C57" s="5" t="str">
        <x:v>LF</x:v>
      </x:c>
      <x:c r="D57" s="5"/>
      <x:c r="E57" s="5"/>
      <x:c r="F57" s="5"/>
      <x:c r="G57" s="5"/>
      <x:c r="H57" s="5"/>
      <x:c r="I57" s="5"/>
      <x:c r="J57" s="5"/>
      <x:c r="K57" s="5"/>
      <x:c r="L57" s="5"/>
    </x:row>
    <x:row r="58" ht="24" customHeight="1">
      <x:c r="A58" s="5" t="str">
        <x:v>Header filler area</x:v>
      </x:c>
      <x:c r="B58" s="23" t="n">
        <x:f>F16*11.875/12</x:f>
        <x:v>49.73687065972222</x:v>
      </x:c>
      <x:c r="C58" s="5" t="str">
        <x:v>SF</x:v>
      </x:c>
      <x:c r="D58" s="5" t="str">
        <x:v>1/4 in. packing only; not part of LVL structural width.</x:v>
      </x:c>
      <x:c r="E58" s="5"/>
      <x:c r="F58" s="5"/>
      <x:c r="G58" s="5"/>
      <x:c r="H58" s="5"/>
      <x:c r="I58" s="5"/>
      <x:c r="J58" s="5"/>
      <x:c r="K58" s="5"/>
      <x:c r="L58" s="5"/>
    </x:row>
    <x:row r="59" ht="24" customHeight="1">
      <x:c r="A59" s="5" t="str">
        <x:v>Full stud cut length</x:v>
      </x:c>
      <x:c r="B59" s="23" t="n">
        <x:f>'Inputs'!B12-4.5/12</x:f>
        <x:v>8.916666666666666</x:v>
      </x:c>
      <x:c r="C59" s="5" t="str">
        <x:v>FT</x:v>
      </x:c>
      <x:c r="D59" s="5"/>
      <x:c r="E59" s="5"/>
      <x:c r="F59" s="5"/>
      <x:c r="G59" s="5"/>
      <x:c r="H59" s="5"/>
      <x:c r="I59" s="5"/>
      <x:c r="J59" s="5"/>
      <x:c r="K59" s="5"/>
      <x:c r="L59" s="5"/>
    </x:row>
    <x:row r="60" ht="24" customHeight="1">
      <x:c r="A60" s="5" t="str">
        <x:v>Floor longest gross member</x:v>
      </x:c>
      <x:c r="B60" s="23" t="n">
        <x:f>'Inputs'!B7+'Inputs'!B9</x:f>
        <x:v>23.854166666666664</x:v>
      </x:c>
      <x:c r="C60" s="5" t="str">
        <x:v>FT</x:v>
      </x:c>
      <x:c r="D60" s="5"/>
      <x:c r="E60" s="5"/>
      <x:c r="F60" s="5"/>
      <x:c r="G60" s="5"/>
      <x:c r="H60" s="5"/>
      <x:c r="I60" s="5"/>
      <x:c r="J60" s="5"/>
      <x:c r="K60" s="5"/>
      <x:c r="L60" s="5"/>
    </x:row>
    <x:row r="61" ht="24" customHeight="1">
      <x:c r="A61" s="5" t="str">
        <x:v>Floor uniform span reference</x:v>
      </x:c>
      <x:c r="B61" s="23" t="n">
        <x:v>26.833333333333332</x:v>
      </x:c>
      <x:c r="C61" s="5" t="str">
        <x:v>FT</x:v>
      </x:c>
      <x:c r="D61" s="5" t="str">
        <x:v>TJ-4000 p7, 14 in. TJI560, 16 in. OC, 40/20, L/480.</x:v>
      </x:c>
      <x:c r="E61" s="5"/>
      <x:c r="F61" s="5"/>
      <x:c r="G61" s="5"/>
      <x:c r="H61" s="5"/>
      <x:c r="I61" s="5"/>
      <x:c r="J61" s="5"/>
      <x:c r="K61" s="5"/>
      <x:c r="L61" s="5"/>
    </x:row>
    <x:row r="62" ht="24" customHeight="1">
      <x:c r="A62" s="5" t="str">
        <x:v>Span screen headroom</x:v>
      </x:c>
      <x:c r="B62" s="23" t="n">
        <x:f>B61-B60</x:f>
        <x:v>2.979166666666668</x:v>
      </x:c>
      <x:c r="C62" s="5" t="str">
        <x:v>FT</x:v>
      </x:c>
      <x:c r="D62" s="5" t="str">
        <x:v>Uniform-load screen only; not a complete floor design.</x:v>
      </x:c>
      <x:c r="E62" s="5"/>
      <x:c r="F62" s="5"/>
      <x:c r="G62" s="5"/>
      <x:c r="H62" s="5"/>
      <x:c r="I62" s="5"/>
      <x:c r="J62" s="5"/>
      <x:c r="K62" s="5"/>
      <x:c r="L62" s="5"/>
    </x:row>
  </x:sheetData>
  <x:mergeCells>
    <x:mergeCell ref="D1:L1"/>
  </x:mergeCells>
  <x:pageMargins left="0.7" right="0.7" top="0.75" bottom="0.75" header="0.3" footer="0.3"/>
  <x:drawing xmlns:r="http://schemas.openxmlformats.org/officeDocument/2006/relationships" r:id="R80bad70971b44dfe"/>
</x:worksheet>
</file>

<file path=xl/worksheets/sheet3.xml><?xml version="1.0" encoding="utf-8"?>
<x:worksheet xmlns:x="http://schemas.openxmlformats.org/spreadsheetml/2006/main">
  <x:sheetPr>
    <x:tabColor rgb="FFD7A44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.5" hidden="0" customWidth="1"/>
    <x:col min="2" max="2" width="15" hidden="0" customWidth="1"/>
    <x:col min="3" max="3" width="11.880000114440918" hidden="0" customWidth="1"/>
    <x:col min="4" max="4" width="57.5" hidden="0" customWidth="1"/>
  </x:cols>
  <x:sheetData>
    <x:row r="1" ht="64" customHeight="1">
      <x:c r="D1" s="28" t="str">
        <x:v>PLAN TO PRICE ESTIMATING | 908-946-2811
hello@plantopriceestimating.com | plantopriceestimating.com
Bennett Residence Addition | RA-01
Prepared for Cedar &amp; Cove Builders LLC (fictional)</x:v>
      </x:c>
    </x:row>
    <x:row r="2" ht="24" customHeight="1">
      <x:c r="A2" s="6" t="str">
        <x:v>RA-01 | Assumed design inputs</x:v>
      </x:c>
      <x:c r="B2" s="5"/>
      <x:c r="C2" s="5"/>
      <x:c r="D2" s="5"/>
    </x:row>
    <x:row r="3" ht="24" customHeight="1">
      <x:c r="A3" s="5" t="str">
        <x:v>Yellow cells are editable scenario inputs. Geometry changes require a revised drawing/layout review.</x:v>
      </x:c>
      <x:c r="B3" s="5"/>
      <x:c r="C3" s="5"/>
      <x:c r="D3" s="5"/>
    </x:row>
    <x:row r="4" ht="24" customHeight="1">
      <x:c r="A4" s="5"/>
      <x:c r="B4" s="5"/>
      <x:c r="C4" s="5"/>
      <x:c r="D4" s="5"/>
    </x:row>
    <x:row r="5" ht="30" customHeight="1">
      <x:c r="A5" s="14" t="str">
        <x:v>Parameter</x:v>
      </x:c>
      <x:c r="B5" s="14" t="str">
        <x:v>Value</x:v>
      </x:c>
      <x:c r="C5" s="14" t="str">
        <x:v>Unit</x:v>
      </x:c>
      <x:c r="D5" s="14" t="str">
        <x:v>Basis</x:v>
      </x:c>
    </x:row>
    <x:row r="6" ht="24" customHeight="1">
      <x:c r="A6" s="5" t="str">
        <x:v>Overall width</x:v>
      </x:c>
      <x:c r="B6" s="24" t="n">
        <x:v>28.9375</x:v>
      </x:c>
      <x:c r="C6" s="5" t="str">
        <x:v>FT</x:v>
      </x:c>
      <x:c r="D6" s="5" t="str">
        <x:v>Plan dimension / AR-01</x:v>
      </x:c>
    </x:row>
    <x:row r="7" ht="24" customHeight="1">
      <x:c r="A7" s="5" t="str">
        <x:v>Base depth</x:v>
      </x:c>
      <x:c r="B7" s="24" t="n">
        <x:v>22.083333333333332</x:v>
      </x:c>
      <x:c r="C7" s="5" t="str">
        <x:v>FT</x:v>
      </x:c>
      <x:c r="D7" s="5" t="str">
        <x:v>Plan dimension / AR-01</x:v>
      </x:c>
    </x:row>
    <x:row r="8" ht="24" customHeight="1">
      <x:c r="A8" s="5" t="str">
        <x:v>Bay width</x:v>
      </x:c>
      <x:c r="B8" s="24" t="n">
        <x:v>14.9375</x:v>
      </x:c>
      <x:c r="C8" s="5" t="str">
        <x:v>FT</x:v>
      </x:c>
      <x:c r="D8" s="5" t="str">
        <x:v>Plan dimension / AR-01</x:v>
      </x:c>
    </x:row>
    <x:row r="9" ht="24" customHeight="1">
      <x:c r="A9" s="5" t="str">
        <x:v>Bay projection</x:v>
      </x:c>
      <x:c r="B9" s="24" t="n">
        <x:v>1.7708333333333335</x:v>
      </x:c>
      <x:c r="C9" s="5" t="str">
        <x:v>FT</x:v>
      </x:c>
      <x:c r="D9" s="5" t="str">
        <x:v>Plan dimension / AR-01</x:v>
      </x:c>
    </x:row>
    <x:row r="10" ht="24" customHeight="1">
      <x:c r="A10" s="5" t="str">
        <x:v>Side/front eave projection</x:v>
      </x:c>
      <x:c r="B10" s="24" t="n">
        <x:v>1.7708333333333335</x:v>
      </x:c>
      <x:c r="C10" s="5" t="str">
        <x:v>FT</x:v>
      </x:c>
      <x:c r="D10" s="5" t="str">
        <x:v>Assumed uniform; roof detail varies</x:v>
      </x:c>
    </x:row>
    <x:row r="11" ht="24" customHeight="1">
      <x:c r="A11" s="5" t="str">
        <x:v>Roof pitch rise per 12</x:v>
      </x:c>
      <x:c r="B11" s="24" t="n">
        <x:v>3.75</x:v>
      </x:c>
      <x:c r="C11" s="5" t="str">
        <x:v>IN</x:v>
      </x:c>
      <x:c r="D11" s="5" t="str">
        <x:v>Roof plan label</x:v>
      </x:c>
    </x:row>
    <x:row r="12" ht="24" customHeight="1">
      <x:c r="A12" s="5" t="str">
        <x:v>Wall height to top of plates</x:v>
      </x:c>
      <x:c r="B12" s="24" t="n">
        <x:v>9.291666666666666</x:v>
      </x:c>
      <x:c r="C12" s="5" t="str">
        <x:v>FT</x:v>
      </x:c>
      <x:c r="D12" s="5" t="str">
        <x:v>Assume datum at top of subfloor</x:v>
      </x:c>
    </x:row>
    <x:row r="13" ht="24" customHeight="1">
      <x:c r="A13" s="5" t="str">
        <x:v>Wall stud spacing</x:v>
      </x:c>
      <x:c r="B13" s="24" t="n">
        <x:v>16</x:v>
      </x:c>
      <x:c r="C13" s="5" t="str">
        <x:v>IN</x:v>
      </x:c>
      <x:c r="D13" s="5" t="str">
        <x:v>Wall-section note</x:v>
      </x:c>
    </x:row>
    <x:row r="14" ht="24" customHeight="1">
      <x:c r="A14" s="5" t="str">
        <x:v>Floor joist spacing</x:v>
      </x:c>
      <x:c r="B14" s="24" t="n">
        <x:v>16</x:v>
      </x:c>
      <x:c r="C14" s="5" t="str">
        <x:v>IN</x:v>
      </x:c>
      <x:c r="D14" s="5" t="str">
        <x:v>Assumed design basis</x:v>
      </x:c>
    </x:row>
    <x:row r="15" ht="24" customHeight="1">
      <x:c r="A15" s="5" t="str">
        <x:v>Roof assembly spacing</x:v>
      </x:c>
      <x:c r="B15" s="24" t="n">
        <x:v>24</x:v>
      </x:c>
      <x:c r="C15" s="5" t="str">
        <x:v>IN</x:v>
      </x:c>
      <x:c r="D15" s="5" t="str">
        <x:v>Assumed truss alternative</x:v>
      </x:c>
    </x:row>
    <x:row r="16" ht="24" customHeight="1">
      <x:c r="A16" s="5" t="str">
        <x:v>Sheet/sawn stock waste</x:v>
      </x:c>
      <x:c r="B16" s="25" t="n">
        <x:v>0.1</x:v>
      </x:c>
      <x:c r="C16" s="5" t="str">
        <x:v>FACTOR</x:v>
      </x:c>
      <x:c r="D16" s="5" t="str">
        <x:v>Estimating allowance</x:v>
      </x:c>
    </x:row>
    <x:row r="17" ht="24" customHeight="1">
      <x:c r="A17" s="5" t="str">
        <x:v>Panel area</x:v>
      </x:c>
      <x:c r="B17" s="24" t="n">
        <x:v>32</x:v>
      </x:c>
      <x:c r="C17" s="5" t="str">
        <x:v>SF</x:v>
      </x:c>
      <x:c r="D17" s="5" t="str">
        <x:v>4 x 8 panels</x:v>
      </x:c>
    </x:row>
    <x:row r="18" ht="24" customHeight="1">
      <x:c r="A18" s="5" t="str">
        <x:v>Header plies</x:v>
      </x:c>
      <x:c r="B18" s="24" t="n">
        <x:v>3</x:v>
      </x:c>
      <x:c r="C18" s="5" t="str">
        <x:v>EA</x:v>
      </x:c>
      <x:c r="D18" s="5" t="str">
        <x:v>Assumed 1.75 x 11.875 LVL; not sized</x:v>
      </x:c>
    </x:row>
    <x:row r="19" ht="24" customHeight="1">
      <x:c r="A19" s="5" t="str">
        <x:v>Header bearing extension total</x:v>
      </x:c>
      <x:c r="B19" s="24" t="n">
        <x:v>1</x:v>
      </x:c>
      <x:c r="C19" s="5" t="str">
        <x:v>FT</x:v>
      </x:c>
      <x:c r="D19" s="5" t="str">
        <x:v>Assumed 6 in. each end</x:v>
      </x:c>
    </x:row>
    <x:row r="20" ht="24" customHeight="1">
      <x:c r="A20" s="5" t="str">
        <x:v>Roof tie-in deck allowance</x:v>
      </x:c>
      <x:c r="B20" s="24" t="n">
        <x:v>80</x:v>
      </x:c>
      <x:c r="C20" s="5" t="str">
        <x:v>SF</x:v>
      </x:c>
      <x:c r="D20" s="5" t="str">
        <x:v>Explicit provisional allowance</x:v>
      </x:c>
    </x:row>
    <x:row r="21" ht="24" customHeight="1">
      <x:c r="A21" s="5" t="str">
        <x:v>Corner/end extra full studs</x:v>
      </x:c>
      <x:c r="B21" s="24" t="n">
        <x:v>14</x:v>
      </x:c>
      <x:c r="C21" s="5" t="str">
        <x:v>EA</x:v>
      </x:c>
      <x:c r="D21" s="5" t="str">
        <x:v>6 corners x 2 + 2 end backing</x:v>
      </x:c>
    </x:row>
    <x:row r="22" ht="24" customHeight="1">
      <x:c r="A22" s="5" t="str">
        <x:v>King studs per opening</x:v>
      </x:c>
      <x:c r="B22" s="24" t="n">
        <x:v>2</x:v>
      </x:c>
      <x:c r="C22" s="5" t="str">
        <x:v>EA</x:v>
      </x:c>
      <x:c r="D22" s="5" t="str">
        <x:v>Assumed 1 each jamb</x:v>
      </x:c>
    </x:row>
    <x:row r="23" ht="24" customHeight="1">
      <x:c r="A23" s="5" t="str">
        <x:v>Jack studs per opening</x:v>
      </x:c>
      <x:c r="B23" s="24" t="n">
        <x:v>4</x:v>
      </x:c>
      <x:c r="C23" s="5" t="str">
        <x:v>EA</x:v>
      </x:c>
      <x:c r="D23" s="5" t="str">
        <x:v>Assumed 2 each jamb</x:v>
      </x:c>
    </x:row>
    <x:row r="24" ht="24" customHeight="1">
      <x:c r="A24" s="5" t="str">
        <x:v>Floor joist stock length</x:v>
      </x:c>
      <x:c r="B24" s="24" t="n">
        <x:v>24</x:v>
      </x:c>
      <x:c r="C24" s="5" t="str">
        <x:v>FT</x:v>
      </x:c>
      <x:c r="D24" s="5" t="str">
        <x:v>14 in. TJI 560 pricing basis</x:v>
      </x:c>
    </x:row>
    <x:row r="25" ht="24" customHeight="1">
      <x:c r="A25" s="5" t="str">
        <x:v>Floor joist spare count</x:v>
      </x:c>
      <x:c r="B25" s="24" t="n">
        <x:v>1</x:v>
      </x:c>
      <x:c r="C25" s="5" t="str">
        <x:v>EA</x:v>
      </x:c>
      <x:c r="D25" s="5" t="str">
        <x:v>Explicit spare; no 10% addition</x:v>
      </x:c>
    </x:row>
    <x:row r="26" ht="24" customHeight="1">
      <x:c r="A26" s="5" t="str">
        <x:v>Roof jack/filler allowance</x:v>
      </x:c>
      <x:c r="B26" s="24" t="n">
        <x:v>16</x:v>
      </x:c>
      <x:c r="C26" s="5" t="str">
        <x:v>EA</x:v>
      </x:c>
      <x:c r="D26" s="5" t="str">
        <x:v>Assumed package members</x:v>
      </x:c>
    </x:row>
    <x:row r="27" ht="24" customHeight="1">
      <x:c r="A27" s="5" t="str">
        <x:v>Roof girder assembly count</x:v>
      </x:c>
      <x:c r="B27" s="24" t="n">
        <x:v>1</x:v>
      </x:c>
      <x:c r="C27" s="5" t="str">
        <x:v>EA</x:v>
      </x:c>
      <x:c r="D27" s="5" t="str">
        <x:v>Included in primary roof station count</x:v>
      </x:c>
    </x:row>
    <x:row r="28" ht="24" customHeight="1">
      <x:c r="A28" s="5" t="str">
        <x:v>Roof reduced/end assemblies</x:v>
      </x:c>
      <x:c r="B28" s="24" t="n">
        <x:v>5</x:v>
      </x:c>
      <x:c r="C28" s="5" t="str">
        <x:v>EA</x:v>
      </x:c>
      <x:c r="D28" s="5" t="str">
        <x:v>Included in primary roof station count</x:v>
      </x:c>
    </x:row>
    <x:row r="29" ht="24" customHeight="1">
      <x:c r="A29" s="5" t="str">
        <x:v>Roof load assumption</x:v>
      </x:c>
      <x:c r="B29" s="24" t="n">
        <x:v>50</x:v>
      </x:c>
      <x:c r="C29" s="5" t="str">
        <x:v>PSF snow</x:v>
      </x:c>
      <x:c r="D29" s="5" t="str">
        <x:v>Scenario only; not local design criterion</x:v>
      </x:c>
    </x:row>
    <x:row r="30" ht="24" customHeight="1">
      <x:c r="A30" s="5" t="str">
        <x:v>Roof dead load assumption</x:v>
      </x:c>
      <x:c r="B30" s="24" t="n">
        <x:v>20</x:v>
      </x:c>
      <x:c r="C30" s="5" t="str">
        <x:v>PSF</x:v>
      </x:c>
      <x:c r="D30" s="5" t="str">
        <x:v>Scenario for supplier quote</x:v>
      </x:c>
    </x:row>
    <x:row r="31" ht="24" customHeight="1">
      <x:c r="A31" s="5" t="str">
        <x:v>Floor live load assumption</x:v>
      </x:c>
      <x:c r="B31" s="24" t="n">
        <x:v>40</x:v>
      </x:c>
      <x:c r="C31" s="5" t="str">
        <x:v>PSF</x:v>
      </x:c>
      <x:c r="D31" s="5" t="str">
        <x:v>TJ-4000 table selection basis</x:v>
      </x:c>
    </x:row>
    <x:row r="32" ht="24" customHeight="1">
      <x:c r="A32" s="5" t="str">
        <x:v>Floor dead load assumption</x:v>
      </x:c>
      <x:c r="B32" s="24" t="n">
        <x:v>20</x:v>
      </x:c>
      <x:c r="C32" s="5" t="str">
        <x:v>PSF</x:v>
      </x:c>
      <x:c r="D32" s="5" t="str">
        <x:v>TJ-4000 table selection basis</x:v>
      </x:c>
    </x:row>
    <x:row r="33" ht="24" customHeight="1">
      <x:c r="A33" s="5" t="str">
        <x:v>Rim board stock length</x:v>
      </x:c>
      <x:c r="B33" s="24" t="n">
        <x:v>12</x:v>
      </x:c>
      <x:c r="C33" s="5" t="str">
        <x:v>FT</x:v>
      </x:c>
      <x:c r="D33" s="5" t="str">
        <x:v>Assumed supplier stock</x:v>
      </x:c>
    </x:row>
    <x:row r="34" ht="24" customHeight="1">
      <x:c r="A34" s="5" t="str">
        <x:v>Plate stock length</x:v>
      </x:c>
      <x:c r="B34" s="24" t="n">
        <x:v>16</x:v>
      </x:c>
      <x:c r="C34" s="5" t="str">
        <x:v>FT</x:v>
      </x:c>
      <x:c r="D34" s="5" t="str">
        <x:v>Assumed supplier stock</x:v>
      </x:c>
    </x:row>
    <x:row r="35" ht="24" customHeight="1">
      <x:c r="A35" s="5" t="str">
        <x:v>Adhesive coverage per tube</x:v>
      </x:c>
      <x:c r="B35" s="24" t="n">
        <x:v>40</x:v>
      </x:c>
      <x:c r="C35" s="5" t="str">
        <x:v>LF</x:v>
      </x:c>
      <x:c r="D35" s="5" t="str">
        <x:v>Budget yield assumption</x:v>
      </x:c>
    </x:row>
    <x:row r="36" ht="24" customHeight="1">
      <x:c r="A36" s="5" t="str">
        <x:v>Hold-down allowance</x:v>
      </x:c>
      <x:c r="B36" s="24" t="n">
        <x:v>8</x:v>
      </x:c>
      <x:c r="C36" s="5" t="str">
        <x:v>EA</x:v>
      </x:c>
      <x:c r="D36" s="5" t="str">
        <x:v>Budget assemblies; design/model pending</x:v>
      </x:c>
    </x:row>
    <x:row r="37" ht="24" customHeight="1">
      <x:c r="A37" s="5" t="str">
        <x:v>Anchor hardware allowance</x:v>
      </x:c>
      <x:c r="B37" s="24" t="n">
        <x:v>30</x:v>
      </x:c>
      <x:c r="C37" s="5" t="str">
        <x:v>EA</x:v>
      </x:c>
      <x:c r="D37" s="5" t="str">
        <x:v>Budget sets; cast-in bolts by concrete</x:v>
      </x:c>
    </x:row>
    <x:row r="38" ht="24" customHeight="1">
      <x:c r="A38" s="5" t="str">
        <x:v>Temporary brace stock</x:v>
      </x:c>
      <x:c r="B38" s="24" t="n">
        <x:v>20</x:v>
      </x:c>
      <x:c r="C38" s="5" t="str">
        <x:v>EA</x:v>
      </x:c>
      <x:c r="D38" s="5" t="str">
        <x:v>1x4x12; explicitly separate allowance</x:v>
      </x:c>
    </x:row>
    <x:row r="39" ht="24" customHeight="1">
      <x:c r="A39" s="5" t="str">
        <x:v>Full stud stock length</x:v>
      </x:c>
      <x:c r="B39" s="24" t="n">
        <x:v>9</x:v>
      </x:c>
      <x:c r="C39" s="5" t="str">
        <x:v>FT</x:v>
      </x:c>
      <x:c r="D39" s="5" t="str">
        <x:v>Cut to assumed 8 ft 11 in.</x:v>
      </x:c>
    </x:row>
    <x:row r="40" ht="24" customHeight="1">
      <x:c r="A40" s="5" t="str">
        <x:v>Jack stock length</x:v>
      </x:c>
      <x:c r="B40" s="24" t="n">
        <x:v>8</x:v>
      </x:c>
      <x:c r="C40" s="5" t="str">
        <x:v>FT</x:v>
      </x:c>
      <x:c r="D40" s="5" t="str">
        <x:v>Cut to assumed 7 ft 10-1/2 in.</x:v>
      </x:c>
    </x:row>
    <x:row r="41" ht="24" customHeight="1">
      <x:c r="A41" s="5" t="str">
        <x:v>Window cripple stock</x:v>
      </x:c>
      <x:c r="B41" s="24" t="n">
        <x:v>8</x:v>
      </x:c>
      <x:c r="C41" s="5" t="str">
        <x:v>FT</x:v>
      </x:c>
      <x:c r="D41" s="5" t="str">
        <x:v>2x6; six 15.5-in. cuts per board</x:v>
      </x:c>
    </x:row>
  </x:sheetData>
  <x:pageMargins left="0.7" right="0.7" top="0.75" bottom="0.75" header="0.3" footer="0.3"/>
  <x:drawing xmlns:r="http://schemas.openxmlformats.org/officeDocument/2006/relationships" r:id="Rc3376eab313d4ce7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.130000114440918" hidden="0" customWidth="1"/>
    <x:col min="2" max="2" width="41.25" hidden="0" customWidth="1"/>
    <x:col min="3" max="3" width="87.5" hidden="0" customWidth="1"/>
    <x:col min="4" max="4" width="86.25" hidden="0" customWidth="1"/>
  </x:cols>
  <x:sheetData>
    <x:row r="1" ht="64" customHeight="1">
      <x:c r="D1" s="28" t="str">
        <x:v>PLAN TO PRICE ESTIMATING | 908-946-2811
hello@plantopriceestimating.com | plantopriceestimating.com
Bennett Residence Addition | RA-01
Prepared for Cedar &amp; Cove Builders LLC (fictional)</x:v>
      </x:c>
    </x:row>
    <x:row r="2" ht="24" customHeight="1">
      <x:c r="A2" s="6" t="str">
        <x:v>Source and assumption register</x:v>
      </x:c>
      <x:c r="B2" s="5"/>
      <x:c r="C2" s="5"/>
      <x:c r="D2" s="5"/>
    </x:row>
    <x:row r="3" ht="24" customHeight="1">
      <x:c r="A3" s="5"/>
      <x:c r="B3" s="5"/>
      <x:c r="C3" s="5"/>
      <x:c r="D3" s="5"/>
    </x:row>
    <x:row r="4" ht="24" customHeight="1">
      <x:c r="A4" s="5"/>
      <x:c r="B4" s="5"/>
      <x:c r="C4" s="5"/>
      <x:c r="D4" s="5"/>
    </x:row>
    <x:row r="5" ht="30" customHeight="1">
      <x:c r="A5" s="14" t="str">
        <x:v>ID</x:v>
      </x:c>
      <x:c r="B5" s="14" t="str">
        <x:v>Reference</x:v>
      </x:c>
      <x:c r="C5" s="14" t="str">
        <x:v>Location / URL</x:v>
      </x:c>
      <x:c r="D5" s="14" t="str">
        <x:v>Use and limitation</x:v>
      </x:c>
    </x:row>
    <x:row r="6" ht="24" customHeight="1">
      <x:c r="A6" s="5" t="str">
        <x:v>S1</x:v>
      </x:c>
      <x:c r="B6" s="5" t="str">
        <x:v>Anonymized architectural set</x:v>
      </x:c>
      <x:c r="C6" s="5" t="str">
        <x:v>AR-01 / original A.1; A.2 roof/openings; A.4 sections</x:v>
      </x:c>
      <x:c r="D6" s="5" t="str">
        <x:v>Plan dimensions and section material notes; identity withheld in public package.</x:v>
      </x:c>
    </x:row>
    <x:row r="7" ht="24" customHeight="1">
      <x:c r="A7" s="5" t="str">
        <x:v>S2</x:v>
      </x:c>
      <x:c r="B7" s="5" t="str">
        <x:v>Weyerhaeuser TJ-4000, July 2025, p7</x:v>
      </x:c>
      <x:c r="C7" s="5" t="str">
        <x:v>https://www.weyerhaeuser.com/application/files/5617/5451/8519/TJ-4000.pdf</x:v>
      </x:c>
      <x:c r="D7" s="5" t="str">
        <x:v>14 in. TJI560 / 16 OC / 40 live+20 dead / L480: 26 ft 10 in. uniform-load clear span.</x:v>
      </x:c>
    </x:row>
    <x:row r="8" ht="24" customHeight="1">
      <x:c r="A8" s="5" t="str">
        <x:v>S3</x:v>
      </x:c>
      <x:c r="B8" s="5" t="str">
        <x:v>APA panel performance categories</x:v>
      </x:c>
      <x:c r="C8" s="5" t="str">
        <x:v>https://help.apawood.org/portal/en/kb/articles/1-32-inch</x:v>
      </x:c>
      <x:c r="D8" s="5" t="str">
        <x:v>Nominal 1/2, 5/8, 3/4 correspond commonly to 15/32, 19/32, 23/32 categories.</x:v>
      </x:c>
    </x:row>
    <x:row r="9" ht="24" customHeight="1">
      <x:c r="A9" s="5" t="str">
        <x:v>S4</x:v>
      </x:c>
      <x:c r="B9" s="5" t="str">
        <x:v>APA plywood / span ratings</x:v>
      </x:c>
      <x:c r="C9" s="5" t="str">
        <x:v>https://www.apawood.org/engineered-wood-products/plywood-osb/plywood/</x:v>
      </x:c>
      <x:c r="D9" s="5" t="str">
        <x:v>Panel thickness alone is not a span rating; orientation and support conditions matter.</x:v>
      </x:c>
    </x:row>
    <x:row r="10" ht="24" customHeight="1">
      <x:c r="A10" s="5" t="str">
        <x:v>S5</x:v>
      </x:c>
      <x:c r="B10" s="5" t="str">
        <x:v>Simpson H2.5A installation guide</x:v>
      </x:c>
      <x:c r="C10" s="5" t="str">
        <x:v>https://www.strongtie.com/resources/product-installers-guide/h25a-installation</x:v>
      </x:c>
      <x:c r="D10" s="5" t="str">
        <x:v>Rafter/truss-to-top-plate tie; no capacity approval inferred for this scenario.</x:v>
      </x:c>
    </x:row>
    <x:row r="11" ht="24" customHeight="1">
      <x:c r="A11" s="5" t="str">
        <x:v>S6</x:v>
      </x:c>
      <x:c r="B11" s="5" t="str">
        <x:v>AWC span-table tutorial</x:v>
      </x:c>
      <x:c r="C11" s="5" t="str">
        <x:v>https://awc.org/resource-hub/span-table-tutorial</x:v>
      </x:c>
      <x:c r="D11" s="5" t="str">
        <x:v>Loads, span, species/grade, deflection and bearing are necessary to size members.</x:v>
      </x:c>
    </x:row>
    <x:row r="12" ht="24" customHeight="1">
      <x:c r="A12" s="5" t="str">
        <x:v>S7</x:v>
      </x:c>
      <x:c r="B12" s="5" t="str">
        <x:v>Microllam LVL manufacturer</x:v>
      </x:c>
      <x:c r="C12" s="5" t="str">
        <x:v>https://www.weyerhaeuser.com/woodproducts/engineered-lumber/microllam-lvl/microllam-lvl-beams/</x:v>
      </x:c>
      <x:c r="D12" s="5" t="str">
        <x:v>Product family reference only; header sizes are budget assumptions, not table-selected.</x:v>
      </x:c>
    </x:row>
    <x:row r="13" ht="24" customHeight="1">
      <x:c r="A13" s="5" t="str">
        <x:v>S8</x:v>
      </x:c>
      <x:c r="B13" s="5" t="str">
        <x:v>Assumed scenario Q01</x:v>
      </x:c>
      <x:c r="C13" s="5" t="str">
        <x:v>User-authorized estimating assumptions, October 29 2026</x:v>
      </x:c>
      <x:c r="D13" s="5" t="str">
        <x:v>Roof trusses at 24 OC; roof snow50/dead20; floor supports at perimeter; no concentrated loads on floor.</x:v>
      </x:c>
    </x:row>
    <x:row r="14" ht="24" customHeight="1">
      <x:c r="A14" s="5"/>
      <x:c r="B14" s="5"/>
      <x:c r="C14" s="5"/>
      <x:c r="D14" s="5"/>
    </x:row>
    <x:row r="15" ht="24" customHeight="1">
      <x:c r="A15" s="5"/>
      <x:c r="B15" s="5"/>
      <x:c r="C15" s="5"/>
      <x:c r="D15" s="5"/>
    </x:row>
    <x:row r="16" ht="24" customHeight="1">
      <x:c r="A16" s="5" t="str">
        <x:v>Q01 takes precedence for estimating over earlier draft holds and scope allocations; earlier documents are retained as process history.</x:v>
      </x:c>
      <x:c r="B16" s="5"/>
      <x:c r="C16" s="5"/>
      <x:c r="D16" s="5"/>
    </x:row>
    <x:row r="17" ht="24" customHeight="1">
      <x:c r="A17" s="5" t="str">
        <x:v>Formal quantity format is not a structural certification. Local loading, supports, hold-downs, fasteners and header sizes remain unverified.</x:v>
      </x:c>
      <x:c r="B17" s="5"/>
      <x:c r="C17" s="5"/>
      <x:c r="D17" s="5"/>
    </x:row>
    <x:row r="18" ht="24" customHeight="1">
      <x:c r="A18" s="5" t="str">
        <x:v>Panel counts use whole-sheet rounding. Header stock rounding already contains cut-off allowance; no additional blanket 10% applied.</x:v>
      </x:c>
      <x:c r="B18" s="5"/>
      <x:c r="C18" s="5"/>
      <x:c r="D18" s="5"/>
    </x:row>
  </x:sheetData>
  <x:pageMargins left="0.7" right="0.7" top="0.75" bottom="0.75" header="0.3" footer="0.3"/>
  <x:drawing xmlns:r="http://schemas.openxmlformats.org/officeDocument/2006/relationships" r:id="R72af08d2e8b8494a"/>
</x:worksheet>
</file>